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01 Hjemmeside indhold\01 Nyeste oploads\02 NYESTE 20.08.26\"/>
    </mc:Choice>
  </mc:AlternateContent>
  <xr:revisionPtr revIDLastSave="0" documentId="8_{D0227515-A301-4EE3-9D9F-1F90D1674D9B}" xr6:coauthVersionLast="47" xr6:coauthVersionMax="47" xr10:uidLastSave="{00000000-0000-0000-0000-000000000000}"/>
  <workbookProtection workbookAlgorithmName="SHA-512" workbookHashValue="+RLqEmvWnTg6OLbB06rF/RZJr5fDCSNPRCm3COu2qpQ9Ie2us8t7Vkivb2lCh3xM0A5Fs8aNoeYfVZ91U9J3uA==" workbookSaltValue="dTuEHnhhT2aKduQxnbRa0g==" workbookSpinCount="100000" lockStructure="1"/>
  <bookViews>
    <workbookView xWindow="-110" yWindow="-110" windowWidth="23260" windowHeight="14860" xr2:uid="{A9DEB46A-2DD7-4A32-9993-011B0095ED2F}"/>
  </bookViews>
  <sheets>
    <sheet name="Forbehold" sheetId="7" r:id="rId1"/>
    <sheet name="Beregner firma" sheetId="3" r:id="rId2"/>
    <sheet name="Beregner fastlønnet" sheetId="4" r:id="rId3"/>
    <sheet name="Beregner provisionslønnet" sheetId="6" r:id="rId4"/>
    <sheet name="Ark2" sheetId="2"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4" l="1"/>
  <c r="D69" i="4" l="1"/>
  <c r="D69" i="6"/>
  <c r="D11" i="6"/>
  <c r="D11" i="4"/>
  <c r="C50" i="6"/>
  <c r="C50" i="4"/>
  <c r="D64" i="6"/>
  <c r="D63" i="6"/>
  <c r="D43" i="6"/>
  <c r="D42" i="6"/>
  <c r="D41" i="6"/>
  <c r="D40" i="6" a="1"/>
  <c r="D40" i="6" s="1"/>
  <c r="D35" i="6"/>
  <c r="D13" i="6"/>
  <c r="D72" i="6" l="1"/>
  <c r="D72" i="4"/>
  <c r="D15" i="6"/>
  <c r="D17" i="6" s="1"/>
  <c r="O13" i="3"/>
  <c r="M13" i="3"/>
  <c r="K13" i="3"/>
  <c r="I13" i="3"/>
  <c r="R13" i="3" s="1"/>
  <c r="O12" i="3"/>
  <c r="M12" i="3"/>
  <c r="K12" i="3"/>
  <c r="I12" i="3"/>
  <c r="D40" i="4" a="1"/>
  <c r="D40" i="4" s="1"/>
  <c r="D20" i="6" l="1"/>
  <c r="D19" i="6"/>
  <c r="D13" i="4"/>
  <c r="D15" i="4" s="1"/>
  <c r="D64" i="4"/>
  <c r="D63" i="4"/>
  <c r="D43" i="4"/>
  <c r="D42" i="4"/>
  <c r="D35" i="4"/>
  <c r="N21" i="3"/>
  <c r="O21" i="3" s="1"/>
  <c r="N23" i="3"/>
  <c r="O23" i="3" s="1"/>
  <c r="L23" i="3"/>
  <c r="M23" i="3" s="1"/>
  <c r="J23" i="3"/>
  <c r="K23" i="3" s="1"/>
  <c r="H23" i="3"/>
  <c r="I23" i="3" s="1"/>
  <c r="F23" i="3"/>
  <c r="G23" i="3" s="1"/>
  <c r="D23" i="3"/>
  <c r="E23" i="3" s="1"/>
  <c r="Q9" i="3"/>
  <c r="O16" i="3"/>
  <c r="O15" i="3"/>
  <c r="O14" i="3"/>
  <c r="M16" i="3"/>
  <c r="M15" i="3"/>
  <c r="M14" i="3"/>
  <c r="K16" i="3"/>
  <c r="K15" i="3"/>
  <c r="K14" i="3"/>
  <c r="I16" i="3"/>
  <c r="I15" i="3"/>
  <c r="I14" i="3"/>
  <c r="G16" i="3"/>
  <c r="G15" i="3"/>
  <c r="G14" i="3"/>
  <c r="E16" i="3"/>
  <c r="E15" i="3"/>
  <c r="E14" i="3"/>
  <c r="O9" i="3"/>
  <c r="M9" i="3"/>
  <c r="K9" i="3"/>
  <c r="I9" i="3"/>
  <c r="G9" i="3"/>
  <c r="E9" i="3"/>
  <c r="D22" i="6" l="1"/>
  <c r="M18" i="3"/>
  <c r="M19" i="3" s="1"/>
  <c r="D17" i="4"/>
  <c r="D19" i="4" s="1"/>
  <c r="R12" i="3"/>
  <c r="R21" i="3"/>
  <c r="I18" i="3"/>
  <c r="I19" i="3" s="1"/>
  <c r="R23" i="3"/>
  <c r="O18" i="3"/>
  <c r="O19" i="3" s="1"/>
  <c r="O25" i="3" s="1"/>
  <c r="G18" i="3"/>
  <c r="M25" i="3"/>
  <c r="K18" i="3"/>
  <c r="K19" i="3" s="1"/>
  <c r="R16" i="3"/>
  <c r="E18" i="3"/>
  <c r="R14" i="3"/>
  <c r="R15" i="3"/>
  <c r="R9" i="3"/>
  <c r="D37" i="6" l="1"/>
  <c r="D45" i="6" s="1"/>
  <c r="D20" i="4"/>
  <c r="I25" i="3"/>
  <c r="R18" i="3"/>
  <c r="E19" i="3"/>
  <c r="E25" i="3" s="1"/>
  <c r="G19" i="3"/>
  <c r="G25" i="3" s="1"/>
  <c r="K25" i="3"/>
  <c r="D48" i="6" l="1"/>
  <c r="D47" i="6"/>
  <c r="D50" i="6" s="1"/>
  <c r="D52" i="6" s="1"/>
  <c r="D55" i="6"/>
  <c r="D54" i="6"/>
  <c r="D22" i="4"/>
  <c r="D37" i="4" s="1"/>
  <c r="R19" i="3"/>
  <c r="R25" i="3" s="1"/>
  <c r="D57" i="6" l="1"/>
  <c r="D59" i="6" s="1"/>
  <c r="D45" i="4"/>
  <c r="D47" i="4" l="1"/>
  <c r="D50" i="4" s="1"/>
  <c r="D48" i="4"/>
  <c r="D52" i="4" l="1"/>
  <c r="D55" i="4" l="1"/>
  <c r="D54" i="4"/>
  <c r="D57" i="4" l="1"/>
  <c r="D59"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<sst xmlns="http://schemas.openxmlformats.org/spreadsheetml/2006/main" count="229" uniqueCount="77">
  <si>
    <t>Ferietillæg</t>
  </si>
  <si>
    <t>Pension, arbejdsgiverbetalt bidrag</t>
  </si>
  <si>
    <t>Samlet</t>
  </si>
  <si>
    <t>0-1 år</t>
  </si>
  <si>
    <t>1-2 år</t>
  </si>
  <si>
    <t>2-4 år</t>
  </si>
  <si>
    <t>4+ år</t>
  </si>
  <si>
    <t>Lønsatser</t>
  </si>
  <si>
    <t>Indtast oplysninger i orange felter</t>
  </si>
  <si>
    <t>DA/LO udviklingsfond</t>
  </si>
  <si>
    <t>0-12 mdr.: Erhvervsturnus</t>
  </si>
  <si>
    <t>0-3 mdr.: Struktureret opstart</t>
  </si>
  <si>
    <t>Minimumsløn</t>
  </si>
  <si>
    <t>Anciennitet</t>
  </si>
  <si>
    <t>Antal medarbejdere</t>
  </si>
  <si>
    <t>Lønomkostning pr. måned ved brancheoverenskomst for Fysioterapeuter</t>
  </si>
  <si>
    <t>OK-tillæg:</t>
  </si>
  <si>
    <t>Certificeret mentor, pensions og ferieberettiget</t>
  </si>
  <si>
    <t>Klinisk vejleder, pensions og ferieberettiget</t>
  </si>
  <si>
    <t>TR, hverken pensions eller ferieberettiget</t>
  </si>
  <si>
    <t>AMR, hverken pensions eller ferieberettiget</t>
  </si>
  <si>
    <t>pr. måned</t>
  </si>
  <si>
    <t>pr. år</t>
  </si>
  <si>
    <t>Alle</t>
  </si>
  <si>
    <t>Beløb</t>
  </si>
  <si>
    <t>Lokallønspulje</t>
  </si>
  <si>
    <t>Total, kr. pr. måned</t>
  </si>
  <si>
    <t>Sats</t>
  </si>
  <si>
    <t>Samlet pr. måned</t>
  </si>
  <si>
    <t>Vælg anciennitetstrin</t>
  </si>
  <si>
    <t>Indtast ugenorm</t>
  </si>
  <si>
    <t>timer pr. uge</t>
  </si>
  <si>
    <t>Personligt tillæg</t>
  </si>
  <si>
    <t>Værdi af 5 feriefridage</t>
  </si>
  <si>
    <t>Værdi af fri 24. og 31. december</t>
  </si>
  <si>
    <t>Samlet inkl. fridage</t>
  </si>
  <si>
    <t>Pension, lønmodtagerbetalt bidrag</t>
  </si>
  <si>
    <t>Forskel</t>
  </si>
  <si>
    <t>Overenskomstløn</t>
  </si>
  <si>
    <t>Tillæg, pensionsgivende</t>
  </si>
  <si>
    <t>Tillæg, ikke pensionsgivende</t>
  </si>
  <si>
    <t>Fast løn, pensionsgivende</t>
  </si>
  <si>
    <t>Provisionsløn, pensionsgivende</t>
  </si>
  <si>
    <t>Øvrige omkostninger</t>
  </si>
  <si>
    <t>Værdi af 5 feriefridage med løn - indtast dage -&gt;</t>
  </si>
  <si>
    <t>Værdi af andre fridage med løn - indtast dage -&gt;</t>
  </si>
  <si>
    <t>Nej</t>
  </si>
  <si>
    <t>Falder fridagen i nogle år i weekender, så indtast 0,71 dag (5/7)</t>
  </si>
  <si>
    <t>Intet tillæg</t>
  </si>
  <si>
    <t>Lønsatser pr. 1. oktober 2026</t>
  </si>
  <si>
    <t>Certificeret mentor højt tillæg, pensions og ferieberettiget</t>
  </si>
  <si>
    <t>Certificeret mentor lavt tillæg, pensions og ferieberettiget</t>
  </si>
  <si>
    <t>Ferietillæg, ikke pensionsgivende</t>
  </si>
  <si>
    <t>Feriegodtgørelse, ikke pensionsgivende</t>
  </si>
  <si>
    <t>Bededagstillæg</t>
  </si>
  <si>
    <t>Nuværende løn som provisionslønnet</t>
  </si>
  <si>
    <t>Løn på overenskomst som fastlønnet</t>
  </si>
  <si>
    <t>Nuværende løn som fastlønnet</t>
  </si>
  <si>
    <r>
      <t xml:space="preserve">Lønomkostning pr. måned ved brancheoverenskomst for Fysioterapeuter for </t>
    </r>
    <r>
      <rPr>
        <b/>
        <sz val="16"/>
        <color rgb="FFFF0000"/>
        <rFont val="Aptos Narrow"/>
        <family val="2"/>
      </rPr>
      <t>fastlønnet</t>
    </r>
  </si>
  <si>
    <r>
      <t xml:space="preserve">Lønomkostning pr. måned ved brancheoverenskomst for Fysioterapeuter for </t>
    </r>
    <r>
      <rPr>
        <b/>
        <sz val="16"/>
        <color rgb="FFFF0000"/>
        <rFont val="Aptos Narrow"/>
        <family val="2"/>
      </rPr>
      <t>provisionslønnet</t>
    </r>
  </si>
  <si>
    <t>Lokalløn (varigt tillæg)</t>
  </si>
  <si>
    <t>OBS: Er det personlige tillæg negativt, skal det ændres til 0 kr.</t>
  </si>
  <si>
    <t>Lokallønspulje inkl. pension, ferietillæg og evt. bededagstillæg</t>
  </si>
  <si>
    <t>Hvor mange ansattes puljer skal anvendes?</t>
  </si>
  <si>
    <t>Beløbet indsættes i række 36</t>
  </si>
  <si>
    <t>Hvis lokallønspuljemidler anvendes til denne medarbejder</t>
  </si>
  <si>
    <t>OBS: Beløbet skal fraregnes værdi til ferietillæg, pension og evt. bededagstillæg, som tillægges efterfølgende. Se række 71</t>
  </si>
  <si>
    <t>Lokallønspuljebidrag fraregnet ferietillæg, pension og evt. bededagstillæg</t>
  </si>
  <si>
    <t>Beregning af lokallønspuljen drøftes ved fastsættelse af lønsatsen i oktober 2027.</t>
  </si>
  <si>
    <t>Arbejdsgiverbidraget kan nedsættes indtil 8 pct.</t>
  </si>
  <si>
    <t>Beregner vedrørende tiltrædelse af Landsoverenskomsten for fysioterapeuter</t>
  </si>
  <si>
    <t>Forbehold</t>
  </si>
  <si>
    <t>Denne beregner er udarbejdet som et hjælpeværktøj i forbindelse med lønomlægning ved tiltrædelse af Landsoverenskomsten for fysioterapeuter mellem Dansk Erhverv Arbejdsgiver, Fysioterapeuternes Fagforening og Serviceforbundet.</t>
  </si>
  <si>
    <t>Beregningsarket giver en vejledende opgørelse af den samlede lønpakke før og efter overenskomsttiltrædelsen med henblik på at understøtte arbejdet med omlægning af løn- og ansættelsesvilkår. Beregningen bygger på de oplysninger, som indtastes i arket, og på de forudsætninger, der er lagt til grund for beregningsmodellen.</t>
  </si>
  <si>
    <t>Arket kan ikke rumme alle individuelle forhold, lokale aftaler, ansættelsesretlige forhold, som kan have betydning for den enkelte medarbejders løn- og ansættelsesvilkår. Resultatet skal derfor alene betragtes som vejledende og kan ikke stå alene ved fastlæggelsen af den konkrete lønomlægning.</t>
  </si>
  <si>
    <t>Beregningsarket udgør ikke juridisk rådgivning eller en bindende fortolkning af overenskomsten. Den endelige vurdering af en lønomlægning bør altid ske på baggrund af en konkret gennemgang af den enkelte medarbejders løn- og ansættelsesforhold. Kontakt Dansk Erhverv for nærmere rådgivning om konkrete tilfælde.</t>
  </si>
  <si>
    <t>Version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</si>
</sst>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kr.&quot;_-;\-* #,##0.00\ &quot;kr.&quot;_-;_-* &quot;-&quot;??\ &quot;kr.&quot;_-;_-@_-"/>
    <numFmt numFmtId="43" formatCode="_-* #,##0.00_-;\-* #,##0.00_-;_-* &quot;-&quot;??_-;_-@_-"/>
    <numFmt numFmtId="164" formatCode="_-* #,##0.00\ _k_r_._-;\-* #,##0.00\ _k_r_._-;_-* &quot;-&quot;??\ _k_r_._-;_-@_-"/>
    <numFmt numFmtId="165" formatCode="#,##0.00\ &quot;kr.&quot;"/>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6"/>
      <color theme="1"/>
      <name val="Aptos Narrow"/>
      <family val="2"/>
      <scheme val="minor"/>
    </font>
    <font>
      <i/>
      <sz val="11"/>
      <color theme="1"/>
      <name val="Aptos Narrow"/>
      <family val="2"/>
      <scheme val="minor"/>
    </font>
    <font>
      <b/>
      <sz val="16"/>
      <color rgb="FFFF0000"/>
      <name val="Aptos Narrow"/>
      <family val="2"/>
    </font>
    <font>
      <i/>
      <sz val="10"/>
      <color theme="1"/>
      <name val="Georgia"/>
      <family val="1"/>
    </font>
    <font>
      <b/>
      <sz val="14"/>
      <color theme="1"/>
      <name val="Aptos Narrow"/>
      <family val="2"/>
      <scheme val="minor"/>
    </font>
    <font>
      <sz val="10"/>
      <color theme="1"/>
      <name val="Aptos Narrow"/>
      <family val="2"/>
      <scheme val="minor"/>
    </font>
  </fonts>
  <fills count="7">
    <fill>
      <patternFill patternType="none"/>
    </fill>
    <fill>
      <patternFill patternType="gray125"/>
    </fill>
    <fill>
      <patternFill patternType="solid">
        <fgColor rgb="FFFFC000"/>
        <bgColor indexed="64"/>
      </patternFill>
    </fill>
    <fill>
      <patternFill patternType="lightDown"/>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44" fontId="0" fillId="0" borderId="0" xfId="1" applyFont="1"/>
    <xf numFmtId="0" fontId="0" fillId="0" borderId="0" xfId="0" applyAlignment="1">
      <alignment horizontal="left"/>
    </xf>
    <xf numFmtId="14" fontId="2" fillId="0" borderId="0" xfId="0" applyNumberFormat="1" applyFont="1" applyAlignment="1">
      <alignment horizontal="left"/>
    </xf>
    <xf numFmtId="43" fontId="0" fillId="0" borderId="0" xfId="2" applyFont="1" applyProtection="1"/>
    <xf numFmtId="44" fontId="2" fillId="0" borderId="0" xfId="1" applyFont="1" applyProtection="1"/>
    <xf numFmtId="43" fontId="0" fillId="2" borderId="0" xfId="2" applyFont="1" applyFill="1" applyBorder="1" applyAlignment="1" applyProtection="1">
      <alignment horizontal="center"/>
      <protection locked="0"/>
    </xf>
    <xf numFmtId="43" fontId="0" fillId="2" borderId="7" xfId="2" applyFont="1" applyFill="1" applyBorder="1" applyProtection="1">
      <protection locked="0"/>
    </xf>
    <xf numFmtId="44" fontId="0" fillId="0" borderId="6" xfId="1" applyFont="1" applyBorder="1" applyProtection="1"/>
    <xf numFmtId="44" fontId="2" fillId="0" borderId="0" xfId="1" applyFont="1" applyBorder="1" applyProtection="1"/>
    <xf numFmtId="165" fontId="0" fillId="2" borderId="0" xfId="1" applyNumberFormat="1" applyFont="1" applyFill="1" applyProtection="1">
      <protection locked="0"/>
    </xf>
    <xf numFmtId="44" fontId="0" fillId="0" borderId="1" xfId="1" applyFont="1" applyBorder="1" applyProtection="1"/>
    <xf numFmtId="10" fontId="0" fillId="2" borderId="0" xfId="0" applyNumberFormat="1" applyFill="1" applyAlignment="1" applyProtection="1">
      <alignment horizontal="right"/>
      <protection locked="0"/>
    </xf>
    <xf numFmtId="165" fontId="0" fillId="0" borderId="0" xfId="2" applyNumberFormat="1" applyFont="1" applyBorder="1" applyProtection="1"/>
    <xf numFmtId="10" fontId="0" fillId="0" borderId="0" xfId="3" applyNumberFormat="1" applyFont="1" applyProtection="1"/>
    <xf numFmtId="0" fontId="0" fillId="2" borderId="0" xfId="0" applyFill="1" applyAlignment="1" applyProtection="1">
      <alignment horizontal="center"/>
      <protection locked="0"/>
    </xf>
    <xf numFmtId="0" fontId="0" fillId="2" borderId="0" xfId="2" applyNumberFormat="1" applyFont="1" applyFill="1" applyAlignment="1" applyProtection="1">
      <alignment horizontal="center"/>
      <protection locked="0"/>
    </xf>
    <xf numFmtId="165" fontId="0" fillId="2" borderId="0" xfId="0" applyNumberFormat="1" applyFill="1" applyProtection="1">
      <protection locked="0"/>
    </xf>
    <xf numFmtId="165" fontId="0" fillId="5" borderId="0" xfId="0" applyNumberFormat="1" applyFill="1" applyProtection="1">
      <protection locked="0"/>
    </xf>
    <xf numFmtId="0" fontId="3" fillId="0" borderId="0" xfId="0" applyFont="1"/>
    <xf numFmtId="0" fontId="2" fillId="0" borderId="0" xfId="0" applyFont="1"/>
    <xf numFmtId="0" fontId="2" fillId="0" borderId="0" xfId="0" applyFont="1" applyAlignment="1">
      <alignment horizontal="center"/>
    </xf>
    <xf numFmtId="0" fontId="2" fillId="0" borderId="1" xfId="0" applyFont="1" applyBorder="1"/>
    <xf numFmtId="0" fontId="0" fillId="0" borderId="1" xfId="0" applyBorder="1"/>
    <xf numFmtId="0" fontId="4" fillId="0" borderId="0" xfId="0" applyFont="1"/>
    <xf numFmtId="164" fontId="0" fillId="0" borderId="0" xfId="0" applyNumberFormat="1"/>
    <xf numFmtId="0" fontId="2" fillId="0" borderId="1" xfId="0" applyFont="1" applyBorder="1" applyAlignment="1">
      <alignment horizontal="center"/>
    </xf>
    <xf numFmtId="0" fontId="2" fillId="0" borderId="6" xfId="0" applyFont="1" applyBorder="1" applyAlignment="1">
      <alignment horizontal="center"/>
    </xf>
    <xf numFmtId="0" fontId="0" fillId="0" borderId="5" xfId="0" applyBorder="1"/>
    <xf numFmtId="0" fontId="2" fillId="0" borderId="1" xfId="0" applyFont="1" applyBorder="1" applyAlignment="1">
      <alignment horizontal="center" wrapText="1"/>
    </xf>
    <xf numFmtId="0" fontId="2" fillId="0" borderId="5" xfId="0" applyFont="1" applyBorder="1" applyAlignment="1">
      <alignment horizontal="center"/>
    </xf>
    <xf numFmtId="0" fontId="2" fillId="0" borderId="8" xfId="0" applyFont="1" applyBorder="1" applyAlignment="1">
      <alignment horizontal="center" wrapText="1"/>
    </xf>
    <xf numFmtId="0" fontId="0" fillId="0" borderId="6" xfId="0" applyBorder="1"/>
    <xf numFmtId="0" fontId="0" fillId="0" borderId="7" xfId="0" applyBorder="1"/>
    <xf numFmtId="44" fontId="0" fillId="0" borderId="6" xfId="0" applyNumberFormat="1" applyBorder="1"/>
    <xf numFmtId="44" fontId="0" fillId="0" borderId="0" xfId="0" applyNumberFormat="1"/>
    <xf numFmtId="0" fontId="2" fillId="0" borderId="0" xfId="0" applyFont="1" applyAlignment="1">
      <alignment horizontal="left" indent="1"/>
    </xf>
    <xf numFmtId="43" fontId="0" fillId="3" borderId="0" xfId="2" applyFont="1" applyFill="1" applyBorder="1" applyAlignment="1" applyProtection="1">
      <alignment horizontal="center"/>
    </xf>
    <xf numFmtId="0" fontId="0" fillId="3" borderId="6" xfId="0" applyFill="1" applyBorder="1"/>
    <xf numFmtId="43" fontId="0" fillId="3" borderId="7" xfId="2" applyFont="1" applyFill="1" applyBorder="1" applyProtection="1"/>
    <xf numFmtId="44" fontId="0" fillId="3" borderId="6" xfId="0" applyNumberFormat="1" applyFill="1" applyBorder="1"/>
    <xf numFmtId="10" fontId="0" fillId="0" borderId="6" xfId="0" applyNumberFormat="1" applyBorder="1"/>
    <xf numFmtId="9" fontId="0" fillId="0" borderId="0" xfId="0" applyNumberFormat="1"/>
    <xf numFmtId="0" fontId="0" fillId="3" borderId="0" xfId="0" applyFill="1"/>
    <xf numFmtId="0" fontId="0" fillId="3" borderId="7" xfId="0" applyFill="1" applyBorder="1"/>
    <xf numFmtId="43" fontId="0" fillId="0" borderId="7" xfId="0" applyNumberFormat="1" applyBorder="1"/>
    <xf numFmtId="43" fontId="0" fillId="0" borderId="0" xfId="0" applyNumberFormat="1"/>
    <xf numFmtId="0" fontId="0" fillId="0" borderId="8" xfId="0" applyBorder="1"/>
    <xf numFmtId="0" fontId="2" fillId="0" borderId="5" xfId="0" applyFont="1" applyBorder="1"/>
    <xf numFmtId="44" fontId="2" fillId="0" borderId="5" xfId="0" applyNumberFormat="1" applyFont="1" applyBorder="1"/>
    <xf numFmtId="0" fontId="2" fillId="0" borderId="8" xfId="0" applyFont="1" applyBorder="1"/>
    <xf numFmtId="44" fontId="2" fillId="0" borderId="1" xfId="0" applyNumberFormat="1" applyFont="1" applyBorder="1"/>
    <xf numFmtId="0" fontId="2" fillId="4" borderId="0" xfId="0" applyFont="1" applyFill="1"/>
    <xf numFmtId="0" fontId="0" fillId="4" borderId="0" xfId="0" applyFill="1"/>
    <xf numFmtId="165" fontId="0" fillId="0" borderId="0" xfId="0" applyNumberFormat="1"/>
    <xf numFmtId="10" fontId="0" fillId="0" borderId="0" xfId="0" applyNumberFormat="1" applyAlignment="1">
      <alignment horizontal="right"/>
    </xf>
    <xf numFmtId="165" fontId="0" fillId="0" borderId="1" xfId="0" applyNumberFormat="1" applyBorder="1"/>
    <xf numFmtId="165" fontId="2" fillId="0" borderId="1" xfId="0" applyNumberFormat="1" applyFont="1" applyBorder="1"/>
    <xf numFmtId="0" fontId="2" fillId="4" borderId="0" xfId="0" applyFont="1" applyFill="1" applyAlignment="1">
      <alignment horizontal="center"/>
    </xf>
    <xf numFmtId="0" fontId="0" fillId="0" borderId="0" xfId="0" applyAlignment="1">
      <alignment horizontal="left" indent="1"/>
    </xf>
    <xf numFmtId="165" fontId="2" fillId="0" borderId="9" xfId="0" applyNumberFormat="1" applyFont="1" applyBorder="1"/>
    <xf numFmtId="0" fontId="2" fillId="0" borderId="9" xfId="0" applyFont="1" applyBorder="1"/>
    <xf numFmtId="44" fontId="2" fillId="0" borderId="0" xfId="0" applyNumberFormat="1" applyFont="1"/>
    <xf numFmtId="0" fontId="2" fillId="0" borderId="0" xfId="0" applyFont="1" applyAlignment="1">
      <alignment horizontal="left"/>
    </xf>
    <xf numFmtId="43" fontId="0" fillId="0" borderId="0" xfId="2" applyFont="1"/>
    <xf numFmtId="44" fontId="0" fillId="0" borderId="0" xfId="1" applyFont="1" applyBorder="1"/>
    <xf numFmtId="0" fontId="0" fillId="0" borderId="8" xfId="0" applyBorder="1" applyAlignment="1">
      <alignment wrapText="1"/>
    </xf>
    <xf numFmtId="44" fontId="1" fillId="0" borderId="0" xfId="1" applyFont="1" applyBorder="1"/>
    <xf numFmtId="0" fontId="2" fillId="4" borderId="10" xfId="0" applyFont="1" applyFill="1" applyBorder="1"/>
    <xf numFmtId="0" fontId="0" fillId="4" borderId="11" xfId="0" applyFill="1" applyBorder="1"/>
    <xf numFmtId="0" fontId="0" fillId="4" borderId="12" xfId="0" applyFill="1" applyBorder="1"/>
    <xf numFmtId="0" fontId="6" fillId="0" borderId="0" xfId="0" applyFont="1"/>
    <xf numFmtId="165" fontId="0" fillId="2" borderId="0" xfId="1" applyNumberFormat="1" applyFont="1" applyFill="1" applyBorder="1" applyProtection="1">
      <protection locked="0"/>
    </xf>
    <xf numFmtId="0" fontId="0" fillId="6" borderId="0" xfId="0" applyFill="1"/>
    <xf numFmtId="0" fontId="2" fillId="6" borderId="0" xfId="0" applyFont="1" applyFill="1"/>
    <xf numFmtId="0" fontId="7" fillId="6" borderId="0" xfId="0" applyFont="1" applyFill="1"/>
    <xf numFmtId="0" fontId="8" fillId="6" borderId="0" xfId="0" applyFont="1" applyFill="1"/>
    <xf numFmtId="0" fontId="0" fillId="6" borderId="0" xfId="0" applyFill="1" applyAlignment="1">
      <alignment horizontal="left" wrapText="1"/>
    </xf>
    <xf numFmtId="0" fontId="2" fillId="0" borderId="7" xfId="0" applyFont="1" applyBorder="1" applyAlignment="1">
      <alignment horizontal="center"/>
    </xf>
    <xf numFmtId="0" fontId="2" fillId="0" borderId="6" xfId="0" applyFont="1" applyBorder="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0" fillId="0" borderId="7" xfId="0" applyBorder="1" applyAlignment="1">
      <alignment horizontal="left" wrapText="1"/>
    </xf>
  </cellXfs>
  <cellStyles count="4">
    <cellStyle name="Komma" xfId="2" builtinId="3"/>
    <cellStyle name="Normal" xfId="0" builtinId="0"/>
    <cellStyle name="Procent" xfId="3" builtinId="5"/>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523307</xdr:colOff>
      <xdr:row>5</xdr:row>
      <xdr:rowOff>57150</xdr:rowOff>
    </xdr:to>
    <xdr:pic>
      <xdr:nvPicPr>
        <xdr:cNvPr id="2" name="Billede 1">
          <a:extLst>
            <a:ext uri="{FF2B5EF4-FFF2-40B4-BE49-F238E27FC236}">
              <a16:creationId xmlns:a16="http://schemas.microsoft.com/office/drawing/2014/main" id="{D2CD288F-AB8A-4D43-B7BD-BBADFE9D722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0"/>
          <a:ext cx="2961707" cy="971550"/>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C0FF0-2BBD-42F1-A8CD-8454C96B36AB}">
  <dimension ref="A8:L16"/>
  <sheetViews>
    <sheetView tabSelected="1" workbookViewId="0">
      <selection activeCell="A10" sqref="A10"/>
    </sheetView>
  </sheetViews>
  <sheetFormatPr defaultColWidth="8.85546875" defaultRowHeight="15" x14ac:dyDescent="0.25"/>
  <cols>
    <col min="1" max="16384" width="8.85546875" style="73"/>
  </cols>
  <sheetData>
    <row r="8" spans="1:12" ht="18.75" x14ac:dyDescent="0.3">
      <c r="A8" s="75" t="s">
        <v>70</v>
      </c>
    </row>
    <row r="9" spans="1:12" ht="9" customHeight="1" x14ac:dyDescent="0.3">
      <c r="A9" s="75"/>
    </row>
    <row r="10" spans="1:12" x14ac:dyDescent="0.25">
      <c r="A10" s="76" t="s">
        <v>76</v>
      </c>
    </row>
    <row r="11" spans="1:12" x14ac:dyDescent="0.25">
      <c r="A11" s="74"/>
    </row>
    <row r="12" spans="1:12" x14ac:dyDescent="0.25">
      <c r="A12" s="74" t="s">
        <v>71</v>
      </c>
    </row>
    <row r="13" spans="1:12" ht="28.15" customHeight="1" x14ac:dyDescent="0.25">
      <c r="A13" s="77" t="s">
        <v>72</v>
      </c>
      <c r="B13" s="77"/>
      <c r="C13" s="77"/>
      <c r="D13" s="77"/>
      <c r="E13" s="77"/>
      <c r="F13" s="77"/>
      <c r="G13" s="77"/>
      <c r="H13" s="77"/>
      <c r="I13" s="77"/>
      <c r="J13" s="77"/>
      <c r="K13" s="77"/>
      <c r="L13" s="77"/>
    </row>
    <row r="14" spans="1:12" ht="48" customHeight="1" x14ac:dyDescent="0.25">
      <c r="A14" s="77" t="s">
        <v>73</v>
      </c>
      <c r="B14" s="77"/>
      <c r="C14" s="77"/>
      <c r="D14" s="77"/>
      <c r="E14" s="77"/>
      <c r="F14" s="77"/>
      <c r="G14" s="77"/>
      <c r="H14" s="77"/>
      <c r="I14" s="77"/>
      <c r="J14" s="77"/>
      <c r="K14" s="77"/>
      <c r="L14" s="77"/>
    </row>
    <row r="15" spans="1:12" ht="46.15" customHeight="1" x14ac:dyDescent="0.25">
      <c r="A15" s="77" t="s">
        <v>74</v>
      </c>
      <c r="B15" s="77"/>
      <c r="C15" s="77"/>
      <c r="D15" s="77"/>
      <c r="E15" s="77"/>
      <c r="F15" s="77"/>
      <c r="G15" s="77"/>
      <c r="H15" s="77"/>
      <c r="I15" s="77"/>
      <c r="J15" s="77"/>
      <c r="K15" s="77"/>
      <c r="L15" s="77"/>
    </row>
    <row r="16" spans="1:12" ht="45.6" customHeight="1" x14ac:dyDescent="0.25">
      <c r="A16" s="77" t="s">
        <v>75</v>
      </c>
      <c r="B16" s="77"/>
      <c r="C16" s="77"/>
      <c r="D16" s="77"/>
      <c r="E16" s="77"/>
      <c r="F16" s="77"/>
      <c r="G16" s="77"/>
      <c r="H16" s="77"/>
      <c r="I16" s="77"/>
      <c r="J16" s="77"/>
      <c r="K16" s="77"/>
      <c r="L16" s="77"/>
    </row>
  </sheetData>
  <sheetProtection algorithmName="SHA-512" hashValue="8JjH0bc6BL7UKo2/kVTUTZwCw9FUE9dcMI72Z+m7sDFTOF4R/1NaXuyxIdMC2TSRNZYrBT80OcMMVQCGzIY8xw==" saltValue="1x9++8bAZvPhPh8w3Z8dGA==" spinCount="100000" sheet="1" objects="1" scenarios="1"/>
  <mergeCells count="4">
    <mergeCell ref="A13:L13"/>
    <mergeCell ref="A14:L14"/>
    <mergeCell ref="A15:L15"/>
    <mergeCell ref="A16:L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34FA0-D90F-4F86-A512-09B14D08F6F8}">
  <dimension ref="B1:R25"/>
  <sheetViews>
    <sheetView workbookViewId="0">
      <selection activeCell="D3" sqref="D3:F3"/>
    </sheetView>
  </sheetViews>
  <sheetFormatPr defaultRowHeight="15" x14ac:dyDescent="0.25"/>
  <cols>
    <col min="1" max="1" width="3.7109375" customWidth="1"/>
    <col min="2" max="2" width="55.28515625" customWidth="1"/>
    <col min="3" max="3" width="8.28515625" bestFit="1" customWidth="1"/>
    <col min="4" max="4" width="13.28515625" customWidth="1"/>
    <col min="5" max="5" width="15.42578125" customWidth="1"/>
    <col min="6" max="6" width="13.28515625" customWidth="1"/>
    <col min="7" max="7" width="15.42578125" customWidth="1"/>
    <col min="8" max="8" width="13.28515625" customWidth="1"/>
    <col min="9" max="9" width="15.42578125" customWidth="1"/>
    <col min="10" max="10" width="13.28515625" customWidth="1"/>
    <col min="11" max="11" width="15.42578125" customWidth="1"/>
    <col min="12" max="12" width="13.28515625" customWidth="1"/>
    <col min="13" max="13" width="15.42578125" customWidth="1"/>
    <col min="14" max="14" width="13.28515625" customWidth="1"/>
    <col min="15" max="15" width="15.42578125" customWidth="1"/>
    <col min="16" max="16" width="4" customWidth="1"/>
    <col min="17" max="17" width="14.42578125" customWidth="1"/>
    <col min="18" max="18" width="15.42578125" customWidth="1"/>
  </cols>
  <sheetData>
    <row r="1" spans="2:18" ht="21" x14ac:dyDescent="0.35">
      <c r="B1" s="19" t="s">
        <v>15</v>
      </c>
    </row>
    <row r="2" spans="2:18" ht="15.75" thickBot="1" x14ac:dyDescent="0.3">
      <c r="B2" s="20"/>
    </row>
    <row r="3" spans="2:18" ht="15.75" thickBot="1" x14ac:dyDescent="0.3">
      <c r="D3" s="82" t="s">
        <v>8</v>
      </c>
      <c r="E3" s="83"/>
      <c r="F3" s="84"/>
    </row>
    <row r="4" spans="2:18" x14ac:dyDescent="0.25">
      <c r="D4" s="21"/>
      <c r="E4" s="21"/>
      <c r="F4" s="21"/>
    </row>
    <row r="5" spans="2:18" x14ac:dyDescent="0.25">
      <c r="D5" s="80" t="s">
        <v>13</v>
      </c>
      <c r="E5" s="80"/>
      <c r="F5" s="80"/>
      <c r="G5" s="80"/>
      <c r="H5" s="80"/>
      <c r="I5" s="80"/>
      <c r="J5" s="80"/>
      <c r="K5" s="80"/>
      <c r="L5" s="80"/>
      <c r="M5" s="80"/>
      <c r="N5" s="80"/>
      <c r="O5" s="80"/>
      <c r="P5" s="21"/>
      <c r="Q5" s="21"/>
      <c r="R5" s="21"/>
    </row>
    <row r="6" spans="2:18" x14ac:dyDescent="0.25">
      <c r="B6" s="24" t="s">
        <v>49</v>
      </c>
      <c r="C6" s="27" t="s">
        <v>27</v>
      </c>
      <c r="D6" s="81" t="s">
        <v>10</v>
      </c>
      <c r="E6" s="79"/>
      <c r="F6" s="78" t="s">
        <v>11</v>
      </c>
      <c r="G6" s="79"/>
      <c r="H6" s="78" t="s">
        <v>3</v>
      </c>
      <c r="I6" s="79"/>
      <c r="J6" s="78" t="s">
        <v>4</v>
      </c>
      <c r="K6" s="79"/>
      <c r="L6" s="78" t="s">
        <v>5</v>
      </c>
      <c r="M6" s="79"/>
      <c r="N6" s="78" t="s">
        <v>6</v>
      </c>
      <c r="O6" s="79"/>
      <c r="P6" s="21"/>
      <c r="Q6" s="81" t="s">
        <v>26</v>
      </c>
      <c r="R6" s="81"/>
    </row>
    <row r="7" spans="2:18" ht="45" x14ac:dyDescent="0.25">
      <c r="B7" s="23"/>
      <c r="C7" s="28"/>
      <c r="D7" s="29" t="s">
        <v>14</v>
      </c>
      <c r="E7" s="30" t="s">
        <v>24</v>
      </c>
      <c r="F7" s="31" t="s">
        <v>14</v>
      </c>
      <c r="G7" s="30" t="s">
        <v>24</v>
      </c>
      <c r="H7" s="31" t="s">
        <v>14</v>
      </c>
      <c r="I7" s="30" t="s">
        <v>24</v>
      </c>
      <c r="J7" s="31" t="s">
        <v>14</v>
      </c>
      <c r="K7" s="30" t="s">
        <v>24</v>
      </c>
      <c r="L7" s="31" t="s">
        <v>14</v>
      </c>
      <c r="M7" s="30" t="s">
        <v>24</v>
      </c>
      <c r="N7" s="31" t="s">
        <v>14</v>
      </c>
      <c r="O7" s="30" t="s">
        <v>24</v>
      </c>
      <c r="P7" s="22"/>
      <c r="Q7" s="29" t="s">
        <v>14</v>
      </c>
      <c r="R7" s="26" t="s">
        <v>24</v>
      </c>
    </row>
    <row r="8" spans="2:18" x14ac:dyDescent="0.25">
      <c r="C8" s="32"/>
      <c r="E8" s="32"/>
      <c r="F8" s="33"/>
      <c r="G8" s="32"/>
      <c r="H8" s="33"/>
      <c r="I8" s="32"/>
      <c r="J8" s="33"/>
      <c r="K8" s="32"/>
      <c r="L8" s="33"/>
      <c r="M8" s="32"/>
      <c r="N8" s="33"/>
      <c r="O8" s="32"/>
    </row>
    <row r="9" spans="2:18" x14ac:dyDescent="0.25">
      <c r="B9" s="20" t="s">
        <v>12</v>
      </c>
      <c r="C9" s="32"/>
      <c r="D9" s="6">
        <v>0</v>
      </c>
      <c r="E9" s="34">
        <f>'Ark2'!B4*D9</f>
        <v>0</v>
      </c>
      <c r="F9" s="7">
        <v>0</v>
      </c>
      <c r="G9" s="34">
        <f>'Ark2'!C4*F9</f>
        <v>0</v>
      </c>
      <c r="H9" s="7">
        <v>0</v>
      </c>
      <c r="I9" s="34">
        <f>'Ark2'!D4*H9</f>
        <v>0</v>
      </c>
      <c r="J9" s="7">
        <v>0</v>
      </c>
      <c r="K9" s="34">
        <f>'Ark2'!E4*J9</f>
        <v>0</v>
      </c>
      <c r="L9" s="7">
        <v>0</v>
      </c>
      <c r="M9" s="34">
        <f>'Ark2'!F4*L9</f>
        <v>0</v>
      </c>
      <c r="N9" s="7">
        <v>0</v>
      </c>
      <c r="O9" s="34">
        <f>'Ark2'!G4*N9</f>
        <v>0</v>
      </c>
      <c r="P9" s="35"/>
      <c r="Q9" s="4">
        <f>D9+F9+H9+J9+L9+N9</f>
        <v>0</v>
      </c>
      <c r="R9" s="5">
        <f>E9+G9+I9+K9+M9+O9</f>
        <v>0</v>
      </c>
    </row>
    <row r="10" spans="2:18" x14ac:dyDescent="0.25">
      <c r="B10" s="20"/>
      <c r="C10" s="32"/>
      <c r="E10" s="32"/>
      <c r="F10" s="33"/>
      <c r="G10" s="32"/>
      <c r="H10" s="33"/>
      <c r="I10" s="32"/>
      <c r="J10" s="33"/>
      <c r="K10" s="32"/>
      <c r="L10" s="33"/>
      <c r="M10" s="32"/>
      <c r="N10" s="33"/>
      <c r="O10" s="32"/>
      <c r="Q10" s="25"/>
      <c r="R10" s="20"/>
    </row>
    <row r="11" spans="2:18" x14ac:dyDescent="0.25">
      <c r="B11" s="20" t="s">
        <v>16</v>
      </c>
      <c r="C11" s="32"/>
      <c r="E11" s="32"/>
      <c r="F11" s="33"/>
      <c r="G11" s="32"/>
      <c r="H11" s="33"/>
      <c r="I11" s="32"/>
      <c r="J11" s="33"/>
      <c r="K11" s="32"/>
      <c r="L11" s="33"/>
      <c r="M11" s="32"/>
      <c r="N11" s="33"/>
      <c r="O11" s="32"/>
      <c r="R11" s="20"/>
    </row>
    <row r="12" spans="2:18" x14ac:dyDescent="0.25">
      <c r="B12" s="36" t="s">
        <v>50</v>
      </c>
      <c r="C12" s="32"/>
      <c r="D12" s="37"/>
      <c r="E12" s="38"/>
      <c r="F12" s="39"/>
      <c r="G12" s="40"/>
      <c r="H12" s="7">
        <v>0</v>
      </c>
      <c r="I12" s="34">
        <f>'Ark2'!$B8*H12</f>
        <v>0</v>
      </c>
      <c r="J12" s="7">
        <v>0</v>
      </c>
      <c r="K12" s="34">
        <f>'Ark2'!$B8*J12</f>
        <v>0</v>
      </c>
      <c r="L12" s="7">
        <v>0</v>
      </c>
      <c r="M12" s="34">
        <f>'Ark2'!$B8*L12</f>
        <v>0</v>
      </c>
      <c r="N12" s="7">
        <v>0</v>
      </c>
      <c r="O12" s="34">
        <f>'Ark2'!$B8*N12</f>
        <v>0</v>
      </c>
      <c r="R12" s="5">
        <f>E12+G12+I12+K12+M12+O12</f>
        <v>0</v>
      </c>
    </row>
    <row r="13" spans="2:18" x14ac:dyDescent="0.25">
      <c r="B13" s="36" t="s">
        <v>51</v>
      </c>
      <c r="C13" s="32"/>
      <c r="D13" s="37"/>
      <c r="E13" s="38"/>
      <c r="F13" s="39"/>
      <c r="G13" s="40"/>
      <c r="H13" s="7">
        <v>0</v>
      </c>
      <c r="I13" s="34">
        <f>'Ark2'!$C8*H13</f>
        <v>0</v>
      </c>
      <c r="J13" s="7">
        <v>0</v>
      </c>
      <c r="K13" s="34">
        <f>'Ark2'!$C8*J13</f>
        <v>0</v>
      </c>
      <c r="L13" s="7">
        <v>0</v>
      </c>
      <c r="M13" s="34">
        <f>'Ark2'!$C8*L13</f>
        <v>0</v>
      </c>
      <c r="N13" s="7">
        <v>0</v>
      </c>
      <c r="O13" s="34">
        <f>'Ark2'!$C8*N13</f>
        <v>0</v>
      </c>
      <c r="R13" s="5">
        <f>E13+G13+I13+K13+M13+O13</f>
        <v>0</v>
      </c>
    </row>
    <row r="14" spans="2:18" x14ac:dyDescent="0.25">
      <c r="B14" s="36" t="s">
        <v>18</v>
      </c>
      <c r="C14" s="32"/>
      <c r="D14" s="6">
        <v>0</v>
      </c>
      <c r="E14" s="34">
        <f>'Ark2'!$D9/12*D14</f>
        <v>0</v>
      </c>
      <c r="F14" s="7">
        <v>0</v>
      </c>
      <c r="G14" s="34">
        <f>'Ark2'!$D9/12*F14</f>
        <v>0</v>
      </c>
      <c r="H14" s="7">
        <v>0</v>
      </c>
      <c r="I14" s="34">
        <f>'Ark2'!$D9/12*H14</f>
        <v>0</v>
      </c>
      <c r="J14" s="7">
        <v>0</v>
      </c>
      <c r="K14" s="34">
        <f>'Ark2'!$D9/12*J14</f>
        <v>0</v>
      </c>
      <c r="L14" s="7">
        <v>0</v>
      </c>
      <c r="M14" s="34">
        <f>'Ark2'!$D9/12*L14</f>
        <v>0</v>
      </c>
      <c r="N14" s="7">
        <v>0</v>
      </c>
      <c r="O14" s="34">
        <f>'Ark2'!$D9/12*N14</f>
        <v>0</v>
      </c>
      <c r="R14" s="5">
        <f>E14+G14+I14+K14+M14+O14</f>
        <v>0</v>
      </c>
    </row>
    <row r="15" spans="2:18" x14ac:dyDescent="0.25">
      <c r="B15" s="36" t="s">
        <v>19</v>
      </c>
      <c r="C15" s="32"/>
      <c r="D15" s="6">
        <v>0</v>
      </c>
      <c r="E15" s="34">
        <f>'Ark2'!$D10/12*D15</f>
        <v>0</v>
      </c>
      <c r="F15" s="7">
        <v>0</v>
      </c>
      <c r="G15" s="34">
        <f>'Ark2'!$D10/12*F15</f>
        <v>0</v>
      </c>
      <c r="H15" s="7">
        <v>0</v>
      </c>
      <c r="I15" s="34">
        <f>'Ark2'!$D10/12*H15</f>
        <v>0</v>
      </c>
      <c r="J15" s="7">
        <v>0</v>
      </c>
      <c r="K15" s="34">
        <f>'Ark2'!$D10/12*J15</f>
        <v>0</v>
      </c>
      <c r="L15" s="7">
        <v>0</v>
      </c>
      <c r="M15" s="34">
        <f>'Ark2'!$D10/12*L15</f>
        <v>0</v>
      </c>
      <c r="N15" s="7">
        <v>0</v>
      </c>
      <c r="O15" s="34">
        <f>'Ark2'!$D10/12*N15</f>
        <v>0</v>
      </c>
      <c r="R15" s="5">
        <f>E15+G15+I15+K15+M15+O15</f>
        <v>0</v>
      </c>
    </row>
    <row r="16" spans="2:18" x14ac:dyDescent="0.25">
      <c r="B16" s="36" t="s">
        <v>20</v>
      </c>
      <c r="C16" s="32"/>
      <c r="D16" s="6">
        <v>0</v>
      </c>
      <c r="E16" s="34">
        <f>'Ark2'!$D11/12*D16</f>
        <v>0</v>
      </c>
      <c r="F16" s="7">
        <v>0</v>
      </c>
      <c r="G16" s="34">
        <f>'Ark2'!$D11/12*F16</f>
        <v>0</v>
      </c>
      <c r="H16" s="7">
        <v>0</v>
      </c>
      <c r="I16" s="34">
        <f>'Ark2'!$D11/12*H16</f>
        <v>0</v>
      </c>
      <c r="J16" s="7">
        <v>0</v>
      </c>
      <c r="K16" s="34">
        <f>'Ark2'!$D11/12*J16</f>
        <v>0</v>
      </c>
      <c r="L16" s="7">
        <v>0</v>
      </c>
      <c r="M16" s="34">
        <f>'Ark2'!$D11/12*L16</f>
        <v>0</v>
      </c>
      <c r="N16" s="7">
        <v>0</v>
      </c>
      <c r="O16" s="34">
        <f>'Ark2'!$D11/12*N16</f>
        <v>0</v>
      </c>
      <c r="R16" s="5">
        <f>E16+G16+I16+K16+M16+O16</f>
        <v>0</v>
      </c>
    </row>
    <row r="17" spans="2:18" x14ac:dyDescent="0.25">
      <c r="B17" s="20"/>
      <c r="C17" s="32"/>
      <c r="E17" s="32"/>
      <c r="F17" s="33"/>
      <c r="G17" s="32"/>
      <c r="H17" s="33"/>
      <c r="I17" s="32"/>
      <c r="J17" s="33"/>
      <c r="K17" s="32"/>
      <c r="L17" s="33"/>
      <c r="M17" s="32"/>
      <c r="N17" s="33"/>
      <c r="O17" s="32"/>
      <c r="R17" s="20"/>
    </row>
    <row r="18" spans="2:18" x14ac:dyDescent="0.25">
      <c r="B18" s="20" t="s">
        <v>0</v>
      </c>
      <c r="C18" s="41">
        <v>0.01</v>
      </c>
      <c r="E18" s="34">
        <f>SUM(E9:E14)*47/52*$C$18</f>
        <v>0</v>
      </c>
      <c r="F18" s="33"/>
      <c r="G18" s="34">
        <f>SUM(G9:G14)*47/52*$C$18</f>
        <v>0</v>
      </c>
      <c r="H18" s="33"/>
      <c r="I18" s="34">
        <f>SUM(I9:I14)*47/52*$C$18</f>
        <v>0</v>
      </c>
      <c r="J18" s="33"/>
      <c r="K18" s="34">
        <f>SUM(K9:K14)*47/52*$C$18</f>
        <v>0</v>
      </c>
      <c r="L18" s="33"/>
      <c r="M18" s="34">
        <f>SUM(M9:M14)*47/52*$C$18</f>
        <v>0</v>
      </c>
      <c r="N18" s="33"/>
      <c r="O18" s="34">
        <f>SUM(O9:O14)*47/52*$C$18</f>
        <v>0</v>
      </c>
      <c r="R18" s="5">
        <f>E18+G18+I18+K18+M18+O18</f>
        <v>0</v>
      </c>
    </row>
    <row r="19" spans="2:18" x14ac:dyDescent="0.25">
      <c r="B19" s="20" t="s">
        <v>1</v>
      </c>
      <c r="C19" s="41">
        <v>0.13</v>
      </c>
      <c r="E19" s="34">
        <f>(SUM(E9:E14)+E18)*$C$19</f>
        <v>0</v>
      </c>
      <c r="F19" s="33"/>
      <c r="G19" s="34">
        <f>(SUM(G9:G14)+G18)*$C$19</f>
        <v>0</v>
      </c>
      <c r="H19" s="33"/>
      <c r="I19" s="34">
        <f>(SUM(I9:I14)+I18)*$C$19</f>
        <v>0</v>
      </c>
      <c r="J19" s="33"/>
      <c r="K19" s="34">
        <f>(SUM(K9:K14)+K18)*$C$19</f>
        <v>0</v>
      </c>
      <c r="L19" s="33"/>
      <c r="M19" s="34">
        <f>(SUM(M9:M14)+M18)*$C$19</f>
        <v>0</v>
      </c>
      <c r="N19" s="33"/>
      <c r="O19" s="34">
        <f>(SUM(O9:O14)+O18)*$C$19</f>
        <v>0</v>
      </c>
      <c r="R19" s="5">
        <f>E19+G19+I19+K19+M19+O19</f>
        <v>0</v>
      </c>
    </row>
    <row r="20" spans="2:18" x14ac:dyDescent="0.25">
      <c r="B20" s="20"/>
      <c r="C20" s="32"/>
      <c r="D20" s="42"/>
      <c r="E20" s="32"/>
      <c r="F20" s="33"/>
      <c r="G20" s="32"/>
      <c r="H20" s="33"/>
      <c r="I20" s="32"/>
      <c r="J20" s="33"/>
      <c r="K20" s="32"/>
      <c r="L20" s="33"/>
      <c r="M20" s="32"/>
      <c r="N20" s="33"/>
      <c r="O20" s="32"/>
      <c r="R20" s="20"/>
    </row>
    <row r="21" spans="2:18" x14ac:dyDescent="0.25">
      <c r="B21" s="20" t="s">
        <v>25</v>
      </c>
      <c r="C21" s="32"/>
      <c r="D21" s="43"/>
      <c r="E21" s="38"/>
      <c r="F21" s="44"/>
      <c r="G21" s="38"/>
      <c r="H21" s="44"/>
      <c r="I21" s="38"/>
      <c r="J21" s="44"/>
      <c r="K21" s="38"/>
      <c r="L21" s="44"/>
      <c r="M21" s="38"/>
      <c r="N21" s="45">
        <f>N9</f>
        <v>0</v>
      </c>
      <c r="O21" s="8">
        <f>N21*1250*54%</f>
        <v>0</v>
      </c>
      <c r="R21" s="5">
        <f>E21+G21+I21+K21+M21+O21</f>
        <v>0</v>
      </c>
    </row>
    <row r="22" spans="2:18" x14ac:dyDescent="0.25">
      <c r="B22" s="20"/>
      <c r="C22" s="32"/>
      <c r="D22" s="42"/>
      <c r="E22" s="32"/>
      <c r="F22" s="33"/>
      <c r="G22" s="32"/>
      <c r="H22" s="33"/>
      <c r="I22" s="32"/>
      <c r="J22" s="33"/>
      <c r="K22" s="32"/>
      <c r="L22" s="33"/>
      <c r="M22" s="32"/>
      <c r="N22" s="33"/>
      <c r="O22" s="32"/>
      <c r="R22" s="20"/>
    </row>
    <row r="23" spans="2:18" x14ac:dyDescent="0.25">
      <c r="B23" s="20" t="s">
        <v>9</v>
      </c>
      <c r="C23" s="8">
        <v>0.49</v>
      </c>
      <c r="D23" s="46">
        <f>D9</f>
        <v>0</v>
      </c>
      <c r="E23" s="34">
        <f>$C$23*1650/12*D23</f>
        <v>0</v>
      </c>
      <c r="F23" s="45">
        <f>F9</f>
        <v>0</v>
      </c>
      <c r="G23" s="34">
        <f>$C$23*1650/12*F23</f>
        <v>0</v>
      </c>
      <c r="H23" s="45">
        <f>H9</f>
        <v>0</v>
      </c>
      <c r="I23" s="34">
        <f>$C$23*1650/12*H23</f>
        <v>0</v>
      </c>
      <c r="J23" s="45">
        <f>J9</f>
        <v>0</v>
      </c>
      <c r="K23" s="34">
        <f>$C$23*1650/12*J23</f>
        <v>0</v>
      </c>
      <c r="L23" s="45">
        <f>L9</f>
        <v>0</v>
      </c>
      <c r="M23" s="34">
        <f>$C$23*1650/12*L23</f>
        <v>0</v>
      </c>
      <c r="N23" s="45">
        <f>N9</f>
        <v>0</v>
      </c>
      <c r="O23" s="34">
        <f>$C$23*1650/12*N23</f>
        <v>0</v>
      </c>
      <c r="R23" s="5">
        <f>E23+G23+I23+K23+M23+O23</f>
        <v>0</v>
      </c>
    </row>
    <row r="24" spans="2:18" x14ac:dyDescent="0.25">
      <c r="B24" s="22"/>
      <c r="C24" s="28"/>
      <c r="D24" s="23"/>
      <c r="E24" s="28"/>
      <c r="F24" s="47"/>
      <c r="G24" s="28"/>
      <c r="H24" s="47"/>
      <c r="I24" s="28"/>
      <c r="J24" s="47"/>
      <c r="K24" s="28"/>
      <c r="L24" s="47"/>
      <c r="M24" s="28"/>
      <c r="N24" s="47"/>
      <c r="O24" s="28"/>
      <c r="P24" s="23"/>
      <c r="Q24" s="23"/>
      <c r="R24" s="22"/>
    </row>
    <row r="25" spans="2:18" x14ac:dyDescent="0.25">
      <c r="B25" s="22" t="s">
        <v>2</v>
      </c>
      <c r="C25" s="48"/>
      <c r="D25" s="22"/>
      <c r="E25" s="49">
        <f>SUM(E9:E23)</f>
        <v>0</v>
      </c>
      <c r="F25" s="50"/>
      <c r="G25" s="49">
        <f>SUM(G9:G23)</f>
        <v>0</v>
      </c>
      <c r="H25" s="50"/>
      <c r="I25" s="49">
        <f>SUM(I9:I23)</f>
        <v>0</v>
      </c>
      <c r="J25" s="50"/>
      <c r="K25" s="49">
        <f>SUM(K9:K23)</f>
        <v>0</v>
      </c>
      <c r="L25" s="50"/>
      <c r="M25" s="49">
        <f>SUM(M9:M23)</f>
        <v>0</v>
      </c>
      <c r="N25" s="50"/>
      <c r="O25" s="49">
        <f>SUM(O9:O23)</f>
        <v>0</v>
      </c>
      <c r="P25" s="23"/>
      <c r="Q25" s="23"/>
      <c r="R25" s="51">
        <f>SUM(R9:R23)</f>
        <v>0</v>
      </c>
    </row>
  </sheetData>
  <sheetProtection algorithmName="SHA-512" hashValue="fuIfFQ6ZnB3nUFzgbu39LqMYOu9TMibFIZF6DMZtZbb/xji8+jav9Oyxgg4fTOy07hhYvTU84R9/cG3St9BcMQ==" saltValue="pSJYTNp7tiMXitsAFyX6Og==" spinCount="100000" sheet="1" objects="1" scenarios="1"/>
  <mergeCells count="9">
    <mergeCell ref="N6:O6"/>
    <mergeCell ref="D5:O5"/>
    <mergeCell ref="Q6:R6"/>
    <mergeCell ref="D3:F3"/>
    <mergeCell ref="D6:E6"/>
    <mergeCell ref="F6:G6"/>
    <mergeCell ref="H6:I6"/>
    <mergeCell ref="J6:K6"/>
    <mergeCell ref="L6: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44D1C-C6C6-4EA3-A62D-DA4210E83E84}">
  <dimension ref="B1:Q73"/>
  <sheetViews>
    <sheetView workbookViewId="0">
      <selection activeCell="C3" sqref="C3:E3"/>
    </sheetView>
  </sheetViews>
  <sheetFormatPr defaultRowHeight="15" x14ac:dyDescent="0.25"/>
  <cols>
    <col min="1" max="1" width="3.7109375" customWidth="1"/>
    <col min="2" max="2" width="49.7109375" customWidth="1"/>
    <col min="3" max="3" width="10.5703125" customWidth="1"/>
    <col min="4" max="4" width="28.7109375" bestFit="1" customWidth="1"/>
    <col min="5" max="5" width="13.28515625" customWidth="1"/>
    <col min="6" max="6" width="101.28515625" bestFit="1" customWidth="1"/>
    <col min="7" max="7" width="13.28515625" customWidth="1"/>
    <col min="8" max="8" width="15.42578125" customWidth="1"/>
    <col min="9" max="9" width="13.28515625" customWidth="1"/>
    <col min="10" max="10" width="15.42578125" customWidth="1"/>
    <col min="11" max="11" width="13.28515625" customWidth="1"/>
    <col min="12" max="12" width="15.42578125" customWidth="1"/>
    <col min="13" max="13" width="13.28515625" customWidth="1"/>
    <col min="14" max="14" width="15.42578125" customWidth="1"/>
    <col min="15" max="15" width="4" customWidth="1"/>
    <col min="16" max="16" width="14.42578125" customWidth="1"/>
    <col min="17" max="17" width="15.42578125" customWidth="1"/>
  </cols>
  <sheetData>
    <row r="1" spans="2:6" ht="21" x14ac:dyDescent="0.35">
      <c r="B1" s="19" t="s">
        <v>58</v>
      </c>
    </row>
    <row r="2" spans="2:6" ht="15.75" thickBot="1" x14ac:dyDescent="0.3">
      <c r="B2" s="20"/>
    </row>
    <row r="3" spans="2:6" ht="15.75" thickBot="1" x14ac:dyDescent="0.3">
      <c r="C3" s="82" t="s">
        <v>8</v>
      </c>
      <c r="D3" s="83"/>
      <c r="E3" s="84"/>
    </row>
    <row r="4" spans="2:6" x14ac:dyDescent="0.25">
      <c r="D4" s="21"/>
      <c r="E4" s="21"/>
    </row>
    <row r="5" spans="2:6" x14ac:dyDescent="0.25">
      <c r="B5" s="52" t="s">
        <v>57</v>
      </c>
      <c r="C5" s="53"/>
      <c r="D5" s="53"/>
      <c r="E5" s="53"/>
    </row>
    <row r="7" spans="2:6" x14ac:dyDescent="0.25">
      <c r="B7" s="20" t="s">
        <v>41</v>
      </c>
      <c r="D7" s="10">
        <v>40000</v>
      </c>
      <c r="E7" t="s">
        <v>21</v>
      </c>
      <c r="F7" s="54"/>
    </row>
    <row r="8" spans="2:6" x14ac:dyDescent="0.25">
      <c r="B8" s="20" t="s">
        <v>39</v>
      </c>
      <c r="D8" s="10">
        <v>0</v>
      </c>
      <c r="E8" t="s">
        <v>21</v>
      </c>
    </row>
    <row r="9" spans="2:6" x14ac:dyDescent="0.25">
      <c r="B9" s="20" t="s">
        <v>40</v>
      </c>
      <c r="D9" s="10">
        <v>0</v>
      </c>
      <c r="E9" t="s">
        <v>21</v>
      </c>
    </row>
    <row r="10" spans="2:6" x14ac:dyDescent="0.25">
      <c r="D10" s="54"/>
    </row>
    <row r="11" spans="2:6" x14ac:dyDescent="0.25">
      <c r="B11" s="63" t="s">
        <v>52</v>
      </c>
      <c r="C11" s="12">
        <v>1.4999999999999999E-2</v>
      </c>
      <c r="D11" s="54">
        <f>SUM(D7:D9)*47/52*C11</f>
        <v>542.30769230769238</v>
      </c>
      <c r="E11" t="s">
        <v>21</v>
      </c>
    </row>
    <row r="12" spans="2:6" x14ac:dyDescent="0.25">
      <c r="B12" s="20"/>
      <c r="C12" s="55"/>
      <c r="D12" s="54"/>
    </row>
    <row r="13" spans="2:6" x14ac:dyDescent="0.25">
      <c r="B13" s="20" t="s">
        <v>1</v>
      </c>
      <c r="C13" s="12">
        <v>0.15</v>
      </c>
      <c r="D13" s="54">
        <f>(SUM(D7:D8))*C13</f>
        <v>6000</v>
      </c>
      <c r="E13" t="s">
        <v>21</v>
      </c>
    </row>
    <row r="14" spans="2:6" x14ac:dyDescent="0.25">
      <c r="B14" s="20"/>
      <c r="C14" s="55"/>
      <c r="D14" s="54"/>
    </row>
    <row r="15" spans="2:6" x14ac:dyDescent="0.25">
      <c r="B15" s="20" t="s">
        <v>54</v>
      </c>
      <c r="C15" s="12">
        <v>4.4999999999999997E-3</v>
      </c>
      <c r="D15" s="54">
        <f>SUM(D7:D13)*C15</f>
        <v>209.4403846153846</v>
      </c>
      <c r="E15" t="s">
        <v>21</v>
      </c>
    </row>
    <row r="16" spans="2:6" x14ac:dyDescent="0.25">
      <c r="D16" s="54"/>
    </row>
    <row r="17" spans="2:17" x14ac:dyDescent="0.25">
      <c r="B17" s="22" t="s">
        <v>2</v>
      </c>
      <c r="C17" s="23"/>
      <c r="D17" s="56">
        <f>SUM(D7:D16)</f>
        <v>46751.748076923082</v>
      </c>
      <c r="E17" s="23" t="s">
        <v>21</v>
      </c>
      <c r="F17" s="54"/>
    </row>
    <row r="18" spans="2:17" x14ac:dyDescent="0.25">
      <c r="D18" s="54"/>
    </row>
    <row r="19" spans="2:17" x14ac:dyDescent="0.25">
      <c r="B19" t="s">
        <v>44</v>
      </c>
      <c r="C19" s="15">
        <v>5</v>
      </c>
      <c r="D19" s="54">
        <f>D17/260*C19</f>
        <v>899.07207840236697</v>
      </c>
      <c r="E19" t="s">
        <v>21</v>
      </c>
    </row>
    <row r="20" spans="2:17" x14ac:dyDescent="0.25">
      <c r="B20" t="s">
        <v>45</v>
      </c>
      <c r="C20" s="16">
        <v>1.42</v>
      </c>
      <c r="D20" s="54">
        <f>D17/260*C20</f>
        <v>255.33647026627219</v>
      </c>
      <c r="E20" t="s">
        <v>21</v>
      </c>
      <c r="F20" s="24" t="s">
        <v>47</v>
      </c>
    </row>
    <row r="21" spans="2:17" x14ac:dyDescent="0.25">
      <c r="D21" s="54"/>
    </row>
    <row r="22" spans="2:17" x14ac:dyDescent="0.25">
      <c r="B22" s="22" t="s">
        <v>28</v>
      </c>
      <c r="C22" s="23"/>
      <c r="D22" s="57">
        <f>SUM(D17:D20)</f>
        <v>47906.156625591721</v>
      </c>
      <c r="E22" s="22" t="s">
        <v>21</v>
      </c>
    </row>
    <row r="25" spans="2:17" x14ac:dyDescent="0.25">
      <c r="B25" s="52" t="s">
        <v>56</v>
      </c>
      <c r="C25" s="53"/>
      <c r="D25" s="58"/>
      <c r="E25" s="58"/>
    </row>
    <row r="26" spans="2:17" x14ac:dyDescent="0.25">
      <c r="D26" s="21"/>
      <c r="E26" s="21"/>
    </row>
    <row r="27" spans="2:17" x14ac:dyDescent="0.25">
      <c r="B27" s="24" t="s">
        <v>49</v>
      </c>
      <c r="D27" s="21"/>
      <c r="E27" s="21"/>
    </row>
    <row r="28" spans="2:17" x14ac:dyDescent="0.25">
      <c r="D28" s="21"/>
      <c r="E28" s="21"/>
    </row>
    <row r="29" spans="2:17" x14ac:dyDescent="0.25">
      <c r="B29" t="s">
        <v>29</v>
      </c>
      <c r="D29" s="15" t="s">
        <v>6</v>
      </c>
      <c r="E29" s="21"/>
    </row>
    <row r="30" spans="2:17" x14ac:dyDescent="0.25">
      <c r="D30" s="21"/>
      <c r="E30" s="21"/>
    </row>
    <row r="31" spans="2:17" x14ac:dyDescent="0.25">
      <c r="B31" t="s">
        <v>30</v>
      </c>
      <c r="D31" s="15">
        <v>37</v>
      </c>
      <c r="E31" s="2" t="s">
        <v>31</v>
      </c>
    </row>
    <row r="32" spans="2:17" x14ac:dyDescent="0.25">
      <c r="D32" s="20"/>
      <c r="E32" s="20"/>
      <c r="F32" s="20"/>
      <c r="G32" s="20"/>
      <c r="H32" s="20"/>
      <c r="I32" s="20"/>
      <c r="J32" s="20"/>
      <c r="K32" s="20"/>
      <c r="L32" s="20"/>
      <c r="M32" s="20"/>
      <c r="N32" s="20"/>
      <c r="O32" s="21"/>
      <c r="P32" s="21"/>
      <c r="Q32" s="21"/>
    </row>
    <row r="33" spans="2:17" x14ac:dyDescent="0.25">
      <c r="D33" s="20"/>
      <c r="E33" s="20"/>
      <c r="F33" s="20"/>
      <c r="G33" s="20"/>
      <c r="H33" s="20"/>
      <c r="I33" s="20"/>
      <c r="J33" s="20"/>
      <c r="K33" s="20"/>
      <c r="L33" s="20"/>
      <c r="M33" s="20"/>
      <c r="N33" s="20"/>
      <c r="O33" s="21"/>
      <c r="P33" s="21"/>
      <c r="Q33" s="21"/>
    </row>
    <row r="34" spans="2:17" x14ac:dyDescent="0.25">
      <c r="B34" s="23"/>
      <c r="C34" s="23" t="s">
        <v>27</v>
      </c>
      <c r="D34" s="23"/>
      <c r="E34" s="23"/>
    </row>
    <row r="35" spans="2:17" x14ac:dyDescent="0.25">
      <c r="B35" t="s">
        <v>38</v>
      </c>
      <c r="D35" s="54">
        <f>_xlfn.XLOOKUP(D29,'Ark2'!B3:G3,'Ark2'!B4:G4,"",0)*D31/37</f>
        <v>33417</v>
      </c>
      <c r="E35" t="s">
        <v>21</v>
      </c>
      <c r="F35" s="9"/>
    </row>
    <row r="36" spans="2:17" x14ac:dyDescent="0.25">
      <c r="B36" t="s">
        <v>60</v>
      </c>
      <c r="D36" s="17">
        <v>0</v>
      </c>
      <c r="E36" t="s">
        <v>21</v>
      </c>
      <c r="F36" s="24" t="s">
        <v>66</v>
      </c>
      <c r="H36" s="64"/>
    </row>
    <row r="37" spans="2:17" x14ac:dyDescent="0.25">
      <c r="B37" t="s">
        <v>32</v>
      </c>
      <c r="D37" s="18">
        <f>(D22/(1+12/260*5/12+12/260*2*5/7/12)-(D43+D42)*(1+C50))/((1+C45*47/52)*(1+C47)*(1+C50))-D35-D36-D40-D41</f>
        <v>7400.6292620275635</v>
      </c>
      <c r="E37" t="s">
        <v>21</v>
      </c>
      <c r="F37" s="24" t="s">
        <v>61</v>
      </c>
      <c r="H37" s="64"/>
    </row>
    <row r="38" spans="2:17" x14ac:dyDescent="0.25">
      <c r="D38" s="54"/>
      <c r="E38" s="25"/>
      <c r="F38" s="20"/>
      <c r="H38" s="64"/>
    </row>
    <row r="39" spans="2:17" x14ac:dyDescent="0.25">
      <c r="B39" t="s">
        <v>16</v>
      </c>
      <c r="D39" s="54"/>
      <c r="F39" s="20"/>
      <c r="H39" s="64"/>
    </row>
    <row r="40" spans="2:17" x14ac:dyDescent="0.25">
      <c r="B40" s="59" t="s">
        <v>17</v>
      </c>
      <c r="C40" s="15" t="s">
        <v>48</v>
      </c>
      <c r="D40" s="72" cm="1">
        <f t="array" ref="D40">_xlfn.IFS(AND(OR(D29='Ark2'!D3,D29='Ark2'!E3,D29='Ark2'!F3,D29='Ark2'!G3),'Beregner fastlønnet'!C40="Højt tillæg"),'Ark2'!B8,AND(OR(D29='Ark2'!D3,D29='Ark2'!E3,D29='Ark2'!F3,D29='Ark2'!G3),'Beregner fastlønnet'!C40="Lavt tillæg"),'Ark2'!C8,C40="Intet tillæg",0,OR(D29='Ark2'!B3,D29='Ark2'!C3),0)</f>
        <v>0</v>
      </c>
      <c r="E40" t="s">
        <v>21</v>
      </c>
      <c r="F40" s="9"/>
      <c r="H40" s="64"/>
    </row>
    <row r="41" spans="2:17" x14ac:dyDescent="0.25">
      <c r="B41" s="59" t="s">
        <v>18</v>
      </c>
      <c r="C41" s="15" t="s">
        <v>46</v>
      </c>
      <c r="D41" s="72">
        <f>IF(C41="Ja",'Ark2'!D9/12,0)</f>
        <v>0</v>
      </c>
      <c r="E41" t="s">
        <v>21</v>
      </c>
      <c r="F41" s="9"/>
      <c r="H41" s="64"/>
    </row>
    <row r="42" spans="2:17" x14ac:dyDescent="0.25">
      <c r="B42" s="59" t="s">
        <v>19</v>
      </c>
      <c r="C42" s="15" t="s">
        <v>46</v>
      </c>
      <c r="D42" s="72">
        <f>IF(C42="Ja",'Ark2'!D10/12,0)</f>
        <v>0</v>
      </c>
      <c r="E42" t="s">
        <v>21</v>
      </c>
      <c r="F42" s="9"/>
      <c r="H42" s="64"/>
    </row>
    <row r="43" spans="2:17" x14ac:dyDescent="0.25">
      <c r="B43" s="59" t="s">
        <v>20</v>
      </c>
      <c r="C43" s="15" t="s">
        <v>46</v>
      </c>
      <c r="D43" s="72">
        <f>IF(C43="Ja",'Ark2'!D11/12,0)</f>
        <v>0</v>
      </c>
      <c r="E43" t="s">
        <v>21</v>
      </c>
      <c r="F43" s="9"/>
      <c r="H43" s="64"/>
    </row>
    <row r="44" spans="2:17" x14ac:dyDescent="0.25">
      <c r="D44" s="54"/>
      <c r="F44" s="20"/>
      <c r="H44" s="64"/>
    </row>
    <row r="45" spans="2:17" x14ac:dyDescent="0.25">
      <c r="B45" t="s">
        <v>0</v>
      </c>
      <c r="C45" s="55">
        <v>0.01</v>
      </c>
      <c r="D45" s="54">
        <f>SUM(D35:D41)*47/52*$C$45</f>
        <v>368.92857217601835</v>
      </c>
      <c r="E45" t="s">
        <v>21</v>
      </c>
      <c r="F45" s="9"/>
      <c r="H45" s="64"/>
    </row>
    <row r="46" spans="2:17" x14ac:dyDescent="0.25">
      <c r="C46" s="55"/>
      <c r="D46" s="54"/>
      <c r="F46" s="9"/>
      <c r="H46" s="64"/>
    </row>
    <row r="47" spans="2:17" x14ac:dyDescent="0.25">
      <c r="B47" t="s">
        <v>1</v>
      </c>
      <c r="C47" s="12">
        <v>0.13</v>
      </c>
      <c r="D47" s="54">
        <f>(SUM(D35:D41)+D45)*$C$47</f>
        <v>5354.2525184464657</v>
      </c>
      <c r="E47" t="s">
        <v>21</v>
      </c>
      <c r="F47" s="71" t="s">
        <v>69</v>
      </c>
      <c r="H47" s="64"/>
    </row>
    <row r="48" spans="2:17" x14ac:dyDescent="0.25">
      <c r="B48" t="s">
        <v>36</v>
      </c>
      <c r="C48" s="12">
        <v>0.02</v>
      </c>
      <c r="D48" s="54">
        <f>(SUM(D35:D41)+D45)*$C$48</f>
        <v>823.73115668407161</v>
      </c>
      <c r="E48" t="s">
        <v>21</v>
      </c>
      <c r="F48" s="9"/>
      <c r="H48" s="64"/>
    </row>
    <row r="49" spans="2:8" x14ac:dyDescent="0.25">
      <c r="C49" s="55"/>
      <c r="D49" s="54"/>
      <c r="F49" s="9"/>
      <c r="H49" s="64"/>
    </row>
    <row r="50" spans="2:8" x14ac:dyDescent="0.25">
      <c r="B50" t="s">
        <v>54</v>
      </c>
      <c r="C50" s="55">
        <f>C15</f>
        <v>4.4999999999999997E-3</v>
      </c>
      <c r="D50" s="54">
        <f>SUM(D35:D47)*C50</f>
        <v>209.43364658692519</v>
      </c>
      <c r="E50" t="s">
        <v>21</v>
      </c>
      <c r="F50" s="9"/>
      <c r="H50" s="64"/>
    </row>
    <row r="51" spans="2:8" x14ac:dyDescent="0.25">
      <c r="B51" s="23"/>
      <c r="C51" s="23"/>
      <c r="D51" s="54"/>
      <c r="F51" s="20"/>
      <c r="H51" s="64"/>
    </row>
    <row r="52" spans="2:8" x14ac:dyDescent="0.25">
      <c r="B52" s="22" t="s">
        <v>2</v>
      </c>
      <c r="C52" s="22"/>
      <c r="D52" s="60">
        <f>SUM(D35:D47)+D50</f>
        <v>46750.243999236976</v>
      </c>
      <c r="E52" s="61" t="s">
        <v>21</v>
      </c>
      <c r="G52" s="54"/>
      <c r="H52" s="64"/>
    </row>
    <row r="53" spans="2:8" x14ac:dyDescent="0.25">
      <c r="D53" s="54"/>
    </row>
    <row r="54" spans="2:8" x14ac:dyDescent="0.25">
      <c r="B54" t="s">
        <v>33</v>
      </c>
      <c r="D54" s="54">
        <f>D52/260*5</f>
        <v>899.04315383148037</v>
      </c>
      <c r="E54" t="s">
        <v>21</v>
      </c>
      <c r="F54" s="14"/>
    </row>
    <row r="55" spans="2:8" x14ac:dyDescent="0.25">
      <c r="B55" t="s">
        <v>34</v>
      </c>
      <c r="D55" s="54">
        <f>D52/260*2*5/7</f>
        <v>256.86947252328008</v>
      </c>
      <c r="E55" t="s">
        <v>21</v>
      </c>
      <c r="F55" s="14"/>
    </row>
    <row r="56" spans="2:8" x14ac:dyDescent="0.25">
      <c r="B56" s="23"/>
      <c r="C56" s="23"/>
      <c r="D56" s="56"/>
      <c r="E56" s="23"/>
    </row>
    <row r="57" spans="2:8" x14ac:dyDescent="0.25">
      <c r="B57" s="22" t="s">
        <v>35</v>
      </c>
      <c r="C57" s="22"/>
      <c r="D57" s="57">
        <f>SUM(D52:D55)</f>
        <v>47906.156625591735</v>
      </c>
      <c r="E57" s="22" t="s">
        <v>21</v>
      </c>
      <c r="F57" s="62"/>
    </row>
    <row r="58" spans="2:8" x14ac:dyDescent="0.25">
      <c r="D58" s="54"/>
    </row>
    <row r="59" spans="2:8" x14ac:dyDescent="0.25">
      <c r="B59" s="22" t="s">
        <v>37</v>
      </c>
      <c r="C59" s="22"/>
      <c r="D59" s="57">
        <f>D57-D22</f>
        <v>0</v>
      </c>
      <c r="E59" s="22" t="s">
        <v>21</v>
      </c>
    </row>
    <row r="61" spans="2:8" x14ac:dyDescent="0.25">
      <c r="B61" s="20" t="s">
        <v>43</v>
      </c>
    </row>
    <row r="62" spans="2:8" x14ac:dyDescent="0.25">
      <c r="B62" s="20"/>
    </row>
    <row r="63" spans="2:8" x14ac:dyDescent="0.25">
      <c r="B63" t="s">
        <v>62</v>
      </c>
      <c r="D63" s="13">
        <f>IF(D29='Ark2'!G3,1250*54%,0)</f>
        <v>675</v>
      </c>
      <c r="E63" t="s">
        <v>21</v>
      </c>
      <c r="F63" s="24" t="s">
        <v>68</v>
      </c>
    </row>
    <row r="64" spans="2:8" x14ac:dyDescent="0.25">
      <c r="B64" s="23" t="s">
        <v>9</v>
      </c>
      <c r="C64" s="11">
        <v>0.49</v>
      </c>
      <c r="D64" s="56">
        <f>C64*1650/12*D31/37</f>
        <v>67.375</v>
      </c>
      <c r="E64" s="23" t="s">
        <v>21</v>
      </c>
    </row>
    <row r="67" spans="2:5" x14ac:dyDescent="0.25">
      <c r="B67" s="68" t="s">
        <v>65</v>
      </c>
      <c r="C67" s="69"/>
      <c r="D67" s="69"/>
      <c r="E67" s="70"/>
    </row>
    <row r="68" spans="2:5" x14ac:dyDescent="0.25">
      <c r="B68" s="33"/>
      <c r="E68" s="32"/>
    </row>
    <row r="69" spans="2:5" x14ac:dyDescent="0.25">
      <c r="B69" s="33" t="s">
        <v>63</v>
      </c>
      <c r="C69" s="15">
        <v>1</v>
      </c>
      <c r="D69" s="65">
        <f>C69*675</f>
        <v>675</v>
      </c>
      <c r="E69" s="32" t="s">
        <v>21</v>
      </c>
    </row>
    <row r="70" spans="2:5" x14ac:dyDescent="0.25">
      <c r="B70" s="33"/>
      <c r="E70" s="32"/>
    </row>
    <row r="71" spans="2:5" ht="14.45" customHeight="1" x14ac:dyDescent="0.25">
      <c r="B71" s="85" t="s">
        <v>67</v>
      </c>
      <c r="E71" s="32"/>
    </row>
    <row r="72" spans="2:5" x14ac:dyDescent="0.25">
      <c r="B72" s="85"/>
      <c r="D72" s="65">
        <f>D69/((1+C47)*(1+C45*47/52)*(1+C50))</f>
        <v>589.3423733214803</v>
      </c>
      <c r="E72" s="32" t="s">
        <v>21</v>
      </c>
    </row>
    <row r="73" spans="2:5" x14ac:dyDescent="0.25">
      <c r="B73" s="66" t="s">
        <v>64</v>
      </c>
      <c r="C73" s="23"/>
      <c r="D73" s="23"/>
      <c r="E73" s="28"/>
    </row>
  </sheetData>
  <sheetProtection algorithmName="SHA-512" hashValue="h8Ecd551kaQnRFUROxw/RyMDlIahJY1AFJWMLZ8XuixzN306ZPy8tg1ANSCgZiR3XbGnjE2ijlIPZLshYJnc8g==" saltValue="khd9ROEUAGSduokR5gJG2Q==" spinCount="100000" sheet="1" objects="1" scenarios="1"/>
  <mergeCells count="2">
    <mergeCell ref="C3:E3"/>
    <mergeCell ref="B71:B72"/>
  </mergeCells>
  <dataValidations count="2">
    <dataValidation type="list" allowBlank="1" showInputMessage="1" showErrorMessage="1" sqref="C41:C43" xr:uid="{91CF3438-1555-49CA-B163-29870EC929D5}">
      <formula1>"Ja,Nej"</formula1>
    </dataValidation>
    <dataValidation type="list" allowBlank="1" showInputMessage="1" showErrorMessage="1" sqref="C40" xr:uid="{F51971D7-76CB-4D35-9D5A-C6697338BBBC}">
      <formula1>"Højt tillæg, Lavt tillæg,Intet tillæg"</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930CA10-BC0F-48D4-9191-2968F4D9E113}">
          <x14:formula1>
            <xm:f>'Ark2'!$B$3:$G$3</xm:f>
          </x14:formula1>
          <xm:sqref>D29:D30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A77EA-9472-4A59-A161-C387EF6FCD2F}">
  <dimension ref="B1:Q73"/>
  <sheetViews>
    <sheetView workbookViewId="0">
      <selection activeCell="C3" sqref="C3:E3"/>
    </sheetView>
  </sheetViews>
  <sheetFormatPr defaultRowHeight="15" x14ac:dyDescent="0.25"/>
  <cols>
    <col min="1" max="1" width="3.7109375" customWidth="1"/>
    <col min="2" max="2" width="50.85546875" customWidth="1"/>
    <col min="3" max="3" width="10.5703125" customWidth="1"/>
    <col min="4" max="4" width="28.7109375" bestFit="1" customWidth="1"/>
    <col min="5" max="5" width="13.28515625" customWidth="1"/>
    <col min="6" max="6" width="101.28515625" bestFit="1" customWidth="1"/>
    <col min="7" max="7" width="13.28515625" customWidth="1"/>
    <col min="8" max="8" width="15.42578125" customWidth="1"/>
    <col min="9" max="9" width="13.28515625" customWidth="1"/>
    <col min="10" max="10" width="15.42578125" customWidth="1"/>
    <col min="11" max="11" width="13.28515625" customWidth="1"/>
    <col min="12" max="12" width="15.42578125" customWidth="1"/>
    <col min="13" max="13" width="13.28515625" customWidth="1"/>
    <col min="14" max="14" width="15.42578125" customWidth="1"/>
    <col min="15" max="15" width="4" customWidth="1"/>
    <col min="16" max="16" width="14.42578125" customWidth="1"/>
    <col min="17" max="17" width="15.42578125" customWidth="1"/>
  </cols>
  <sheetData>
    <row r="1" spans="2:6" ht="21" x14ac:dyDescent="0.35">
      <c r="B1" s="19" t="s">
        <v>59</v>
      </c>
    </row>
    <row r="2" spans="2:6" ht="15.75" thickBot="1" x14ac:dyDescent="0.3">
      <c r="B2" s="20"/>
    </row>
    <row r="3" spans="2:6" ht="15.75" thickBot="1" x14ac:dyDescent="0.3">
      <c r="C3" s="82" t="s">
        <v>8</v>
      </c>
      <c r="D3" s="83"/>
      <c r="E3" s="84"/>
    </row>
    <row r="4" spans="2:6" x14ac:dyDescent="0.25">
      <c r="D4" s="21"/>
      <c r="E4" s="21"/>
    </row>
    <row r="5" spans="2:6" x14ac:dyDescent="0.25">
      <c r="B5" s="52" t="s">
        <v>55</v>
      </c>
      <c r="C5" s="53"/>
      <c r="D5" s="53"/>
      <c r="E5" s="53"/>
    </row>
    <row r="7" spans="2:6" x14ac:dyDescent="0.25">
      <c r="B7" s="20" t="s">
        <v>42</v>
      </c>
      <c r="D7" s="10">
        <v>500000</v>
      </c>
      <c r="E7" t="s">
        <v>22</v>
      </c>
      <c r="F7" s="54"/>
    </row>
    <row r="8" spans="2:6" x14ac:dyDescent="0.25">
      <c r="B8" s="20" t="s">
        <v>39</v>
      </c>
      <c r="D8" s="10">
        <v>0</v>
      </c>
      <c r="E8" t="s">
        <v>22</v>
      </c>
    </row>
    <row r="9" spans="2:6" x14ac:dyDescent="0.25">
      <c r="B9" s="20" t="s">
        <v>40</v>
      </c>
      <c r="D9" s="10">
        <v>0</v>
      </c>
      <c r="E9" t="s">
        <v>22</v>
      </c>
    </row>
    <row r="10" spans="2:6" x14ac:dyDescent="0.25">
      <c r="D10" s="54"/>
    </row>
    <row r="11" spans="2:6" x14ac:dyDescent="0.25">
      <c r="B11" s="63" t="s">
        <v>53</v>
      </c>
      <c r="C11" s="12">
        <v>0.125</v>
      </c>
      <c r="D11" s="54">
        <f>SUM(D7:D9)*C11</f>
        <v>62500</v>
      </c>
      <c r="E11" t="s">
        <v>22</v>
      </c>
      <c r="F11" s="54"/>
    </row>
    <row r="12" spans="2:6" x14ac:dyDescent="0.25">
      <c r="B12" s="20"/>
      <c r="C12" s="55"/>
      <c r="D12" s="54"/>
    </row>
    <row r="13" spans="2:6" x14ac:dyDescent="0.25">
      <c r="B13" s="20" t="s">
        <v>1</v>
      </c>
      <c r="C13" s="12">
        <v>0</v>
      </c>
      <c r="D13" s="54">
        <f>(SUM(D7:D8))*C13</f>
        <v>0</v>
      </c>
      <c r="E13" t="s">
        <v>22</v>
      </c>
      <c r="F13" s="54"/>
    </row>
    <row r="14" spans="2:6" x14ac:dyDescent="0.25">
      <c r="B14" s="20"/>
      <c r="C14" s="55"/>
      <c r="D14" s="54"/>
    </row>
    <row r="15" spans="2:6" x14ac:dyDescent="0.25">
      <c r="B15" s="20" t="s">
        <v>54</v>
      </c>
      <c r="C15" s="12">
        <v>0</v>
      </c>
      <c r="D15" s="54">
        <f>SUM(D7:D13)*C15</f>
        <v>0</v>
      </c>
      <c r="E15" t="s">
        <v>22</v>
      </c>
      <c r="F15" s="54"/>
    </row>
    <row r="16" spans="2:6" x14ac:dyDescent="0.25">
      <c r="D16" s="54"/>
    </row>
    <row r="17" spans="2:17" x14ac:dyDescent="0.25">
      <c r="B17" s="22" t="s">
        <v>2</v>
      </c>
      <c r="C17" s="23"/>
      <c r="D17" s="56">
        <f>SUM(D7:D16)</f>
        <v>562500</v>
      </c>
      <c r="E17" s="23" t="s">
        <v>22</v>
      </c>
      <c r="F17" s="54"/>
    </row>
    <row r="18" spans="2:17" x14ac:dyDescent="0.25">
      <c r="D18" s="54"/>
    </row>
    <row r="19" spans="2:17" x14ac:dyDescent="0.25">
      <c r="B19" t="s">
        <v>44</v>
      </c>
      <c r="C19" s="15">
        <v>0</v>
      </c>
      <c r="D19" s="54">
        <f>D17/260*C19</f>
        <v>0</v>
      </c>
      <c r="E19" t="s">
        <v>22</v>
      </c>
    </row>
    <row r="20" spans="2:17" x14ac:dyDescent="0.25">
      <c r="B20" t="s">
        <v>45</v>
      </c>
      <c r="C20" s="16">
        <v>0</v>
      </c>
      <c r="D20" s="54">
        <f>D17/260*C20</f>
        <v>0</v>
      </c>
      <c r="E20" t="s">
        <v>22</v>
      </c>
      <c r="F20" s="24" t="s">
        <v>47</v>
      </c>
    </row>
    <row r="21" spans="2:17" x14ac:dyDescent="0.25">
      <c r="D21" s="54"/>
    </row>
    <row r="22" spans="2:17" x14ac:dyDescent="0.25">
      <c r="B22" s="22" t="s">
        <v>28</v>
      </c>
      <c r="C22" s="23"/>
      <c r="D22" s="57">
        <f>SUM(D17:D20)/12</f>
        <v>46875</v>
      </c>
      <c r="E22" s="22" t="s">
        <v>21</v>
      </c>
    </row>
    <row r="25" spans="2:17" x14ac:dyDescent="0.25">
      <c r="B25" s="52" t="s">
        <v>56</v>
      </c>
      <c r="C25" s="53"/>
      <c r="D25" s="58"/>
      <c r="E25" s="58"/>
    </row>
    <row r="26" spans="2:17" x14ac:dyDescent="0.25">
      <c r="D26" s="21"/>
      <c r="E26" s="21"/>
    </row>
    <row r="27" spans="2:17" x14ac:dyDescent="0.25">
      <c r="B27" s="24" t="s">
        <v>49</v>
      </c>
      <c r="D27" s="21"/>
      <c r="E27" s="21"/>
    </row>
    <row r="28" spans="2:17" x14ac:dyDescent="0.25">
      <c r="D28" s="21"/>
      <c r="E28" s="21"/>
    </row>
    <row r="29" spans="2:17" x14ac:dyDescent="0.25">
      <c r="B29" t="s">
        <v>29</v>
      </c>
      <c r="D29" s="15" t="s">
        <v>6</v>
      </c>
      <c r="E29" s="21"/>
    </row>
    <row r="30" spans="2:17" x14ac:dyDescent="0.25">
      <c r="D30" s="21"/>
      <c r="E30" s="21"/>
    </row>
    <row r="31" spans="2:17" x14ac:dyDescent="0.25">
      <c r="B31" t="s">
        <v>30</v>
      </c>
      <c r="D31" s="15">
        <v>37</v>
      </c>
      <c r="E31" s="2" t="s">
        <v>31</v>
      </c>
    </row>
    <row r="32" spans="2:17" x14ac:dyDescent="0.25">
      <c r="D32" s="20"/>
      <c r="E32" s="20"/>
      <c r="F32" s="20"/>
      <c r="G32" s="20"/>
      <c r="H32" s="20"/>
      <c r="I32" s="20"/>
      <c r="J32" s="20"/>
      <c r="K32" s="20"/>
      <c r="L32" s="20"/>
      <c r="M32" s="20"/>
      <c r="N32" s="20"/>
      <c r="O32" s="21"/>
      <c r="P32" s="21"/>
      <c r="Q32" s="21"/>
    </row>
    <row r="33" spans="2:17" x14ac:dyDescent="0.25">
      <c r="D33" s="20"/>
      <c r="E33" s="20"/>
      <c r="F33" s="20"/>
      <c r="G33" s="20"/>
      <c r="H33" s="20"/>
      <c r="I33" s="20"/>
      <c r="J33" s="20"/>
      <c r="K33" s="20"/>
      <c r="L33" s="20"/>
      <c r="M33" s="20"/>
      <c r="N33" s="20"/>
      <c r="O33" s="21"/>
      <c r="P33" s="21"/>
      <c r="Q33" s="21"/>
    </row>
    <row r="34" spans="2:17" x14ac:dyDescent="0.25">
      <c r="B34" s="23"/>
      <c r="C34" s="23" t="s">
        <v>27</v>
      </c>
      <c r="D34" s="23"/>
      <c r="E34" s="23"/>
    </row>
    <row r="35" spans="2:17" x14ac:dyDescent="0.25">
      <c r="B35" t="s">
        <v>38</v>
      </c>
      <c r="D35" s="54">
        <f>_xlfn.XLOOKUP(D29,'Ark2'!B3:G3,'Ark2'!B4:G4,"",0)*D31/37</f>
        <v>33417</v>
      </c>
      <c r="E35" t="s">
        <v>21</v>
      </c>
      <c r="F35" s="9"/>
    </row>
    <row r="36" spans="2:17" x14ac:dyDescent="0.25">
      <c r="B36" t="s">
        <v>60</v>
      </c>
      <c r="D36" s="17">
        <v>0</v>
      </c>
      <c r="E36" t="s">
        <v>21</v>
      </c>
      <c r="F36" s="24" t="s">
        <v>66</v>
      </c>
      <c r="H36" s="64"/>
    </row>
    <row r="37" spans="2:17" x14ac:dyDescent="0.25">
      <c r="B37" t="s">
        <v>32</v>
      </c>
      <c r="D37" s="18">
        <f>(D22/(1+12/260*5/12+12/260*2*5/7/12)-(D43+D42)*(1+C50))/((1+C45*47/52)*(1+C47)*(1+C50))-D35-D36-D40-D41</f>
        <v>6701.7754499030852</v>
      </c>
      <c r="E37" t="s">
        <v>21</v>
      </c>
      <c r="F37" s="24" t="s">
        <v>61</v>
      </c>
      <c r="H37" s="64"/>
    </row>
    <row r="38" spans="2:17" x14ac:dyDescent="0.25">
      <c r="D38" s="54"/>
      <c r="E38" s="25"/>
      <c r="F38" s="20"/>
      <c r="H38" s="64"/>
    </row>
    <row r="39" spans="2:17" x14ac:dyDescent="0.25">
      <c r="B39" t="s">
        <v>16</v>
      </c>
      <c r="D39" s="54"/>
      <c r="F39" s="20"/>
      <c r="H39" s="64"/>
    </row>
    <row r="40" spans="2:17" x14ac:dyDescent="0.25">
      <c r="B40" s="59" t="s">
        <v>17</v>
      </c>
      <c r="C40" s="15" t="s">
        <v>48</v>
      </c>
      <c r="D40" s="72" cm="1">
        <f t="array" ref="D40">_xlfn.IFS(AND(OR(D29='Ark2'!D3,D29='Ark2'!E3,D29='Ark2'!F3,D29='Ark2'!G3),'Beregner provisionslønnet'!C40="Højt tillæg"),'Ark2'!B8,AND(OR(D29='Ark2'!D3,D29='Ark2'!E3,D29='Ark2'!F3,D29='Ark2'!G3),'Beregner provisionslønnet'!C40="Lavt tillæg"),'Ark2'!C8,C40="Intet tillæg",0,OR(D29='Ark2'!B3,D29='Ark2'!C3),0)</f>
        <v>0</v>
      </c>
      <c r="E40" t="s">
        <v>21</v>
      </c>
      <c r="F40" s="9"/>
      <c r="H40" s="64"/>
    </row>
    <row r="41" spans="2:17" x14ac:dyDescent="0.25">
      <c r="B41" s="59" t="s">
        <v>18</v>
      </c>
      <c r="C41" s="15" t="s">
        <v>46</v>
      </c>
      <c r="D41" s="72">
        <f>IF(C41="Ja",'Ark2'!D9/12,0)</f>
        <v>0</v>
      </c>
      <c r="E41" t="s">
        <v>21</v>
      </c>
      <c r="F41" s="9"/>
      <c r="H41" s="64"/>
    </row>
    <row r="42" spans="2:17" x14ac:dyDescent="0.25">
      <c r="B42" s="59" t="s">
        <v>19</v>
      </c>
      <c r="C42" s="15" t="s">
        <v>46</v>
      </c>
      <c r="D42" s="72">
        <f>IF(C42="Ja",'Ark2'!D10/12,0)</f>
        <v>0</v>
      </c>
      <c r="E42" t="s">
        <v>21</v>
      </c>
      <c r="F42" s="9"/>
      <c r="H42" s="64"/>
    </row>
    <row r="43" spans="2:17" x14ac:dyDescent="0.25">
      <c r="B43" s="59" t="s">
        <v>20</v>
      </c>
      <c r="C43" s="15" t="s">
        <v>46</v>
      </c>
      <c r="D43" s="72">
        <f>IF(C43="Ja",'Ark2'!D11/12,0)</f>
        <v>0</v>
      </c>
      <c r="E43" t="s">
        <v>21</v>
      </c>
      <c r="F43" s="9"/>
      <c r="H43" s="64"/>
    </row>
    <row r="44" spans="2:17" x14ac:dyDescent="0.25">
      <c r="D44" s="54"/>
      <c r="F44" s="20"/>
      <c r="H44" s="64"/>
    </row>
    <row r="45" spans="2:17" x14ac:dyDescent="0.25">
      <c r="B45" t="s">
        <v>0</v>
      </c>
      <c r="C45" s="55">
        <v>0.01</v>
      </c>
      <c r="D45" s="54">
        <f>SUM(D35:D41)*47/52*$C$45</f>
        <v>362.61200887412406</v>
      </c>
      <c r="E45" t="s">
        <v>21</v>
      </c>
      <c r="F45" s="9"/>
      <c r="H45" s="64"/>
    </row>
    <row r="46" spans="2:17" x14ac:dyDescent="0.25">
      <c r="C46" s="55"/>
      <c r="D46" s="54"/>
      <c r="F46" s="9"/>
      <c r="H46" s="64"/>
    </row>
    <row r="47" spans="2:17" x14ac:dyDescent="0.25">
      <c r="B47" t="s">
        <v>1</v>
      </c>
      <c r="C47" s="12">
        <v>0.13</v>
      </c>
      <c r="D47" s="54">
        <f>(SUM(D35:D41)+D45)*$C$47</f>
        <v>5262.5803696410376</v>
      </c>
      <c r="E47" t="s">
        <v>21</v>
      </c>
      <c r="F47" s="71" t="s">
        <v>69</v>
      </c>
      <c r="H47" s="64"/>
    </row>
    <row r="48" spans="2:17" x14ac:dyDescent="0.25">
      <c r="B48" t="s">
        <v>36</v>
      </c>
      <c r="C48" s="12">
        <v>0.02</v>
      </c>
      <c r="D48" s="54">
        <f>(SUM(D35:D41)+D45)*$C$48</f>
        <v>809.62774917554418</v>
      </c>
      <c r="E48" t="s">
        <v>21</v>
      </c>
      <c r="F48" s="9"/>
      <c r="H48" s="64"/>
    </row>
    <row r="49" spans="2:8" x14ac:dyDescent="0.25">
      <c r="C49" s="55"/>
      <c r="D49" s="54"/>
      <c r="F49" s="9"/>
      <c r="H49" s="64"/>
    </row>
    <row r="50" spans="2:8" x14ac:dyDescent="0.25">
      <c r="B50" t="s">
        <v>54</v>
      </c>
      <c r="C50" s="55">
        <f>C15</f>
        <v>0</v>
      </c>
      <c r="D50" s="54">
        <f>SUM(D35:D47)*C50</f>
        <v>0</v>
      </c>
      <c r="E50" t="s">
        <v>21</v>
      </c>
      <c r="F50" s="9"/>
      <c r="H50" s="64"/>
    </row>
    <row r="51" spans="2:8" x14ac:dyDescent="0.25">
      <c r="B51" s="23"/>
      <c r="C51" s="23"/>
      <c r="D51" s="54"/>
      <c r="F51" s="20"/>
      <c r="H51" s="64"/>
    </row>
    <row r="52" spans="2:8" x14ac:dyDescent="0.25">
      <c r="B52" s="22" t="s">
        <v>2</v>
      </c>
      <c r="C52" s="22"/>
      <c r="D52" s="60">
        <f>SUM(D35:D47)+D50</f>
        <v>45743.967828418245</v>
      </c>
      <c r="E52" s="61" t="s">
        <v>21</v>
      </c>
      <c r="G52" s="54"/>
      <c r="H52" s="64"/>
    </row>
    <row r="53" spans="2:8" x14ac:dyDescent="0.25">
      <c r="D53" s="54"/>
    </row>
    <row r="54" spans="2:8" x14ac:dyDescent="0.25">
      <c r="B54" t="s">
        <v>33</v>
      </c>
      <c r="D54" s="54">
        <f>D52/260*5</f>
        <v>879.69168900804323</v>
      </c>
      <c r="E54" t="s">
        <v>21</v>
      </c>
      <c r="F54" s="14"/>
    </row>
    <row r="55" spans="2:8" x14ac:dyDescent="0.25">
      <c r="B55" t="s">
        <v>34</v>
      </c>
      <c r="D55" s="54">
        <f>D52/260*2*5/7</f>
        <v>251.34048257372663</v>
      </c>
      <c r="E55" t="s">
        <v>21</v>
      </c>
      <c r="F55" s="14"/>
    </row>
    <row r="56" spans="2:8" x14ac:dyDescent="0.25">
      <c r="B56" s="23"/>
      <c r="C56" s="23"/>
      <c r="D56" s="56"/>
      <c r="E56" s="23"/>
    </row>
    <row r="57" spans="2:8" x14ac:dyDescent="0.25">
      <c r="B57" s="22" t="s">
        <v>35</v>
      </c>
      <c r="C57" s="22"/>
      <c r="D57" s="57">
        <f>SUM(D52:D55)</f>
        <v>46875.000000000015</v>
      </c>
      <c r="E57" s="22" t="s">
        <v>21</v>
      </c>
      <c r="F57" s="62"/>
    </row>
    <row r="58" spans="2:8" x14ac:dyDescent="0.25">
      <c r="D58" s="54"/>
    </row>
    <row r="59" spans="2:8" x14ac:dyDescent="0.25">
      <c r="B59" s="22" t="s">
        <v>37</v>
      </c>
      <c r="C59" s="22"/>
      <c r="D59" s="57">
        <f>D57-D22</f>
        <v>0</v>
      </c>
      <c r="E59" s="22" t="s">
        <v>21</v>
      </c>
    </row>
    <row r="61" spans="2:8" x14ac:dyDescent="0.25">
      <c r="B61" s="20" t="s">
        <v>43</v>
      </c>
    </row>
    <row r="62" spans="2:8" x14ac:dyDescent="0.25">
      <c r="B62" s="20"/>
    </row>
    <row r="63" spans="2:8" x14ac:dyDescent="0.25">
      <c r="B63" t="s">
        <v>62</v>
      </c>
      <c r="D63" s="13">
        <f>IF(D29='Ark2'!G3,1250*54%,0)</f>
        <v>675</v>
      </c>
      <c r="E63" t="s">
        <v>21</v>
      </c>
      <c r="F63" s="24" t="s">
        <v>68</v>
      </c>
    </row>
    <row r="64" spans="2:8" x14ac:dyDescent="0.25">
      <c r="B64" s="23" t="s">
        <v>9</v>
      </c>
      <c r="C64" s="11">
        <v>0.49</v>
      </c>
      <c r="D64" s="56">
        <f>C64*1650/12*D31/37</f>
        <v>67.375</v>
      </c>
      <c r="E64" s="23" t="s">
        <v>21</v>
      </c>
    </row>
    <row r="67" spans="2:5" x14ac:dyDescent="0.25">
      <c r="B67" s="68" t="s">
        <v>65</v>
      </c>
      <c r="C67" s="69"/>
      <c r="D67" s="69"/>
      <c r="E67" s="70"/>
    </row>
    <row r="68" spans="2:5" x14ac:dyDescent="0.25">
      <c r="B68" s="33"/>
      <c r="E68" s="32"/>
    </row>
    <row r="69" spans="2:5" x14ac:dyDescent="0.25">
      <c r="B69" s="33" t="s">
        <v>63</v>
      </c>
      <c r="C69" s="15">
        <v>1</v>
      </c>
      <c r="D69" s="65">
        <f>C69*675</f>
        <v>675</v>
      </c>
      <c r="E69" s="32" t="s">
        <v>21</v>
      </c>
    </row>
    <row r="70" spans="2:5" x14ac:dyDescent="0.25">
      <c r="B70" s="33"/>
      <c r="E70" s="32"/>
    </row>
    <row r="71" spans="2:5" ht="14.45" customHeight="1" x14ac:dyDescent="0.25">
      <c r="B71" s="85" t="s">
        <v>67</v>
      </c>
      <c r="E71" s="32"/>
    </row>
    <row r="72" spans="2:5" x14ac:dyDescent="0.25">
      <c r="B72" s="85"/>
      <c r="D72" s="67">
        <f>D69/((1+C47)*(1+C45*47/52)*(1+C50))</f>
        <v>591.99441400142689</v>
      </c>
      <c r="E72" s="32" t="s">
        <v>21</v>
      </c>
    </row>
    <row r="73" spans="2:5" x14ac:dyDescent="0.25">
      <c r="B73" s="66" t="s">
        <v>64</v>
      </c>
      <c r="C73" s="23"/>
      <c r="D73" s="23"/>
      <c r="E73" s="28"/>
    </row>
  </sheetData>
  <sheetProtection algorithmName="SHA-512" hashValue="p5x/cg/rSB9KK/WsL+21vbFfHkkvOl9rNkoQQQfZgm2dnxb1QiGFgwemH8DvXJ+V6rBHkGGG+W29NNlr7+V2ww==" saltValue="xdGpqXVo/rFcurMmi0RWxg==" spinCount="100000" sheet="1" objects="1" scenarios="1"/>
  <mergeCells count="2">
    <mergeCell ref="C3:E3"/>
    <mergeCell ref="B71:B72"/>
  </mergeCells>
  <dataValidations count="2">
    <dataValidation type="list" allowBlank="1" showInputMessage="1" showErrorMessage="1" sqref="C40" xr:uid="{FE1D70F5-48D2-41DC-8EC8-5B09A64AA62B}">
      <formula1>"Højt tillæg, Lavt tillæg,Intet tillæg"</formula1>
    </dataValidation>
    <dataValidation type="list" allowBlank="1" showInputMessage="1" showErrorMessage="1" sqref="C41:C43" xr:uid="{B9004244-EFAD-4C5E-8039-A975B3313C35}">
      <formula1>"Ja,Nej"</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9B588F7-6BEE-4C08-AC66-6954DE2E1F90}">
          <x14:formula1>
            <xm:f>'Ark2'!$B$3:$G$3</xm:f>
          </x14:formula1>
          <xm:sqref>D29:D30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9A683-4E7C-4CF2-A6BE-18D7E49CAE10}">
  <dimension ref="A3:G11"/>
  <sheetViews>
    <sheetView workbookViewId="0">
      <selection activeCell="G4" sqref="G4"/>
    </sheetView>
  </sheetViews>
  <sheetFormatPr defaultRowHeight="15" x14ac:dyDescent="0.25"/>
  <cols>
    <col min="1" max="1" width="40" bestFit="1" customWidth="1"/>
    <col min="2" max="2" width="21.85546875" bestFit="1" customWidth="1"/>
    <col min="3" max="3" width="24.5703125" bestFit="1" customWidth="1"/>
    <col min="4" max="7" width="12.85546875" bestFit="1" customWidth="1"/>
  </cols>
  <sheetData>
    <row r="3" spans="1:7" x14ac:dyDescent="0.25">
      <c r="A3" s="3">
        <v>46296</v>
      </c>
      <c r="B3" t="s">
        <v>10</v>
      </c>
      <c r="C3" t="s">
        <v>11</v>
      </c>
      <c r="D3" t="s">
        <v>3</v>
      </c>
      <c r="E3" t="s">
        <v>4</v>
      </c>
      <c r="F3" t="s">
        <v>5</v>
      </c>
      <c r="G3" t="s">
        <v>6</v>
      </c>
    </row>
    <row r="4" spans="1:7" x14ac:dyDescent="0.25">
      <c r="A4" t="s">
        <v>7</v>
      </c>
      <c r="B4" s="1">
        <v>27019</v>
      </c>
      <c r="C4" s="1">
        <v>27926</v>
      </c>
      <c r="D4" s="1">
        <v>30648</v>
      </c>
      <c r="E4" s="1">
        <v>31464</v>
      </c>
      <c r="F4" s="1">
        <v>32510</v>
      </c>
      <c r="G4" s="1">
        <v>33417</v>
      </c>
    </row>
    <row r="7" spans="1:7" x14ac:dyDescent="0.25">
      <c r="B7" t="s">
        <v>10</v>
      </c>
      <c r="C7" t="s">
        <v>11</v>
      </c>
      <c r="D7" t="s">
        <v>23</v>
      </c>
    </row>
    <row r="8" spans="1:7" x14ac:dyDescent="0.25">
      <c r="A8" s="2" t="s">
        <v>17</v>
      </c>
      <c r="B8" s="1">
        <v>1400</v>
      </c>
      <c r="C8" s="1">
        <v>500</v>
      </c>
      <c r="E8" t="s">
        <v>21</v>
      </c>
    </row>
    <row r="9" spans="1:7" x14ac:dyDescent="0.25">
      <c r="A9" s="2" t="s">
        <v>18</v>
      </c>
      <c r="D9" s="1">
        <v>1500</v>
      </c>
      <c r="E9" t="s">
        <v>22</v>
      </c>
    </row>
    <row r="10" spans="1:7" x14ac:dyDescent="0.25">
      <c r="A10" s="2" t="s">
        <v>19</v>
      </c>
      <c r="D10" s="1">
        <v>1000</v>
      </c>
      <c r="E10" t="s">
        <v>22</v>
      </c>
    </row>
    <row r="11" spans="1:7" x14ac:dyDescent="0.25">
      <c r="A11" s="2" t="s">
        <v>20</v>
      </c>
      <c r="D11" s="1">
        <v>1000</v>
      </c>
      <c r="E11"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D16D895616D844C8E905A16099DF622" ma:contentTypeVersion="18" ma:contentTypeDescription="Opret et nyt dokument." ma:contentTypeScope="" ma:versionID="7deb482dc49db19e81296e53076e7cae">
  <xsd:schema xmlns:xsd="http://www.w3.org/2001/XMLSchema" xmlns:xs="http://www.w3.org/2001/XMLSchema" xmlns:p="http://schemas.microsoft.com/office/2006/metadata/properties" xmlns:ns2="62e6af6a-1476-4df8-a022-91b43d74a5fe" xmlns:ns3="385c96bc-e50f-4680-a7fe-9fd0e7daf04a" targetNamespace="http://schemas.microsoft.com/office/2006/metadata/properties" ma:root="true" ma:fieldsID="774224d8bad856a5931217cdb50341f3" ns2:_="" ns3:_="">
    <xsd:import namespace="62e6af6a-1476-4df8-a022-91b43d74a5fe"/>
    <xsd:import namespace="385c96bc-e50f-4680-a7fe-9fd0e7daf04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6af6a-1476-4df8-a022-91b43d74a5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bd6ad409-ced6-4e7c-be47-5c4a5c5bb8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5c96bc-e50f-4680-a7fe-9fd0e7daf04a"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7a1805f2-372c-4d81-ae25-b7ab7b227c03}" ma:internalName="TaxCatchAll" ma:showField="CatchAllData" ma:web="385c96bc-e50f-4680-a7fe-9fd0e7daf0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e6af6a-1476-4df8-a022-91b43d74a5fe">
      <Terms xmlns="http://schemas.microsoft.com/office/infopath/2007/PartnerControls"/>
    </lcf76f155ced4ddcb4097134ff3c332f>
    <TaxCatchAll xmlns="385c96bc-e50f-4680-a7fe-9fd0e7daf04a" xsi:nil="true"/>
  </documentManagement>
</p:properties>
</file>

<file path=customXml/itemProps1.xml><?xml version="1.0" encoding="utf-8"?>
<ds:datastoreItem xmlns:ds="http://schemas.openxmlformats.org/officeDocument/2006/customXml" ds:itemID="{00B5A767-E04A-4154-B961-3956D97C4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e6af6a-1476-4df8-a022-91b43d74a5fe"/>
    <ds:schemaRef ds:uri="385c96bc-e50f-4680-a7fe-9fd0e7daf0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21D358-92E2-4724-A824-0A5ED0D1FE49}">
  <ds:schemaRefs>
    <ds:schemaRef ds:uri="http://schemas.microsoft.com/sharepoint/v3/contenttype/forms"/>
  </ds:schemaRefs>
</ds:datastoreItem>
</file>

<file path=customXml/itemProps3.xml><?xml version="1.0" encoding="utf-8"?>
<ds:datastoreItem xmlns:ds="http://schemas.openxmlformats.org/officeDocument/2006/customXml" ds:itemID="{6CE46617-430B-4FE1-B2E0-AFEFA3A85260}">
  <ds:schemaRefs>
    <ds:schemaRef ds:uri="http://schemas.microsoft.com/office/2006/metadata/properties"/>
    <ds:schemaRef ds:uri="http://schemas.microsoft.com/office/infopath/2007/PartnerControls"/>
    <ds:schemaRef ds:uri="62e6af6a-1476-4df8-a022-91b43d74a5fe"/>
    <ds:schemaRef ds:uri="385c96bc-e50f-4680-a7fe-9fd0e7daf04a"/>
  </ds:schemaRefs>
</ds:datastoreItem>
</file>

<file path=docMetadata/LabelInfo.xml><?xml version="1.0" encoding="utf-8"?>
<clbl:labelList xmlns:clbl="http://schemas.microsoft.com/office/2020/mipLabelMetadata">
  <clbl:label id="{35445eb2-6822-4cf0-8a65-6deda71e3e95}" enabled="0" method="" siteId="{35445eb2-6822-4cf0-8a65-6deda71e3e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Forbehold</vt:lpstr>
      <vt:lpstr>Beregner firma</vt:lpstr>
      <vt:lpstr>Beregner fastlønnet</vt:lpstr>
      <vt:lpstr>Beregner provisionslønnet</vt:lpstr>
      <vt:lpstr>Ark2</vt:lpstr>
    </vt:vector>
  </TitlesOfParts>
  <Company>Dansk Erhverv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Jeppesen Nyborg</dc:creator>
  <cp:lastModifiedBy>Marie Mynderup-Bjørnshave</cp:lastModifiedBy>
  <cp:lastPrinted>2026-05-01T09:08:35Z</cp:lastPrinted>
  <dcterms:created xsi:type="dcterms:W3CDTF">2026-05-01T08:47:00Z</dcterms:created>
  <dcterms:modified xsi:type="dcterms:W3CDTF">2026-08-20T10:28:19Z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0x0101000D16D895616D844C8E905A16099DF622</vt:lpwstr>
  </property>
</Properties>
</file>